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395" windowHeight="6660" activeTab="0"/>
  </bookViews>
  <sheets>
    <sheet name="Sommaire" sheetId="1" r:id="rId1"/>
    <sheet name="FormulaireA" sheetId="2" r:id="rId2"/>
    <sheet name="CalcInt" sheetId="3" r:id="rId3"/>
    <sheet name="GraphZe" sheetId="4" r:id="rId4"/>
    <sheet name="GraphZs" sheetId="5" r:id="rId5"/>
    <sheet name="GraphGain" sheetId="6" r:id="rId6"/>
    <sheet name="FormulaireB" sheetId="7" r:id="rId7"/>
    <sheet name="CalcIntB" sheetId="8" r:id="rId8"/>
    <sheet name="GraphGainB" sheetId="9" r:id="rId9"/>
    <sheet name="GraphZeB" sheetId="10" r:id="rId10"/>
    <sheet name="GraphZsB" sheetId="11" r:id="rId11"/>
  </sheets>
  <definedNames>
    <definedName name="Cg_a">'FormulaireA'!$H$25</definedName>
    <definedName name="Cg_ab">'FormulaireB'!$H$25</definedName>
    <definedName name="Cg_k">'FormulaireA'!$H$27</definedName>
    <definedName name="Cg_kb">'FormulaireB'!$H$27</definedName>
    <definedName name="Ck">'FormulaireA'!$H$22</definedName>
    <definedName name="Ckb">'FormulaireB'!$H$22</definedName>
    <definedName name="mu">'FormulaireA'!$H$6</definedName>
    <definedName name="mub">'FormulaireB'!$H$6</definedName>
    <definedName name="RA">'FormulaireA'!$H$8</definedName>
    <definedName name="RAb">'FormulaireB'!$H$8</definedName>
    <definedName name="rak">'FormulaireA'!$H$10</definedName>
    <definedName name="rakb">'FormulaireB'!$H$10</definedName>
    <definedName name="Rch">'FormulaireA'!$H$16</definedName>
    <definedName name="Rchb">'FormulaireB'!$H$16</definedName>
    <definedName name="Rgl">'FormulaireA'!$H$31</definedName>
    <definedName name="Rglb">'FormulaireB'!$H$31</definedName>
    <definedName name="Rgs">'FormulaireA'!$H$29</definedName>
    <definedName name="Rgsb">'FormulaireB'!$H$29</definedName>
    <definedName name="Rk">'FormulaireA'!$H$20</definedName>
    <definedName name="Rkb">'FormulaireB'!$H$37</definedName>
    <definedName name="Rkd">'FormulaireB'!$H$20</definedName>
    <definedName name="Rknd">'FormulaireB'!$H$18</definedName>
    <definedName name="ZL">'FormulaireA'!$H$13</definedName>
    <definedName name="ZLb">'FormulaireB'!$H$13</definedName>
  </definedNames>
  <calcPr fullCalcOnLoad="1"/>
</workbook>
</file>

<file path=xl/sharedStrings.xml><?xml version="1.0" encoding="utf-8"?>
<sst xmlns="http://schemas.openxmlformats.org/spreadsheetml/2006/main" count="210" uniqueCount="109">
  <si>
    <t>RA =</t>
  </si>
  <si>
    <t>rak =</t>
  </si>
  <si>
    <t xml:space="preserve">ZL = </t>
  </si>
  <si>
    <t>mu =</t>
  </si>
  <si>
    <t>Rk =</t>
  </si>
  <si>
    <t>Ck =</t>
  </si>
  <si>
    <t>palier sup</t>
  </si>
  <si>
    <t>dB</t>
  </si>
  <si>
    <t xml:space="preserve">palier inf </t>
  </si>
  <si>
    <t>GAP</t>
  </si>
  <si>
    <t xml:space="preserve">FREQUENCE DE COUPURE </t>
  </si>
  <si>
    <t>ohms</t>
  </si>
  <si>
    <t>µF</t>
  </si>
  <si>
    <t>Charge anode= RA//ZL</t>
  </si>
  <si>
    <t>Calculs intermédiaires</t>
  </si>
  <si>
    <t xml:space="preserve">Cg-a = </t>
  </si>
  <si>
    <t>Cg-k =</t>
  </si>
  <si>
    <t>pF</t>
  </si>
  <si>
    <t>Rgrid-stopper</t>
  </si>
  <si>
    <t>Rgrid-leak</t>
  </si>
  <si>
    <t>ENTREE</t>
  </si>
  <si>
    <t>100 Hz</t>
  </si>
  <si>
    <t>1 kHz</t>
  </si>
  <si>
    <t>(résistance interne)</t>
  </si>
  <si>
    <t>10 kHz</t>
  </si>
  <si>
    <t>(pour calcul de Z entrée)</t>
  </si>
  <si>
    <t>IMPEDANCES (kOhms)</t>
  </si>
  <si>
    <t>fc=</t>
  </si>
  <si>
    <t>Ze</t>
  </si>
  <si>
    <t>w</t>
  </si>
  <si>
    <t>numA =</t>
  </si>
  <si>
    <t>mu RCh =</t>
  </si>
  <si>
    <t xml:space="preserve">denA = </t>
  </si>
  <si>
    <t>Cm=</t>
  </si>
  <si>
    <t>Cmw=</t>
  </si>
  <si>
    <t>Cm²w²=</t>
  </si>
  <si>
    <t>denZe=</t>
  </si>
  <si>
    <t xml:space="preserve">Ze = </t>
  </si>
  <si>
    <t>1/Cmw =</t>
  </si>
  <si>
    <t>numZe=</t>
  </si>
  <si>
    <t>A+1=</t>
  </si>
  <si>
    <t>SORTIE*</t>
  </si>
  <si>
    <t>*l'impédance de sortie est fonction de RA</t>
  </si>
  <si>
    <t>mais pas de ZL</t>
  </si>
  <si>
    <t>Zs</t>
  </si>
  <si>
    <t>Rarak+(mu+1)RARk</t>
  </si>
  <si>
    <t>RA+rak</t>
  </si>
  <si>
    <t>RA+rak+(mu+1)*Rk</t>
  </si>
  <si>
    <t>RarakwRkCk</t>
  </si>
  <si>
    <t>RarakwRkCk²</t>
  </si>
  <si>
    <t>Rarak+(mu+1)RARk²</t>
  </si>
  <si>
    <t>numZs</t>
  </si>
  <si>
    <t>(RA+rak)*w*Rk*Ck</t>
  </si>
  <si>
    <t>(RA+rak)*w*Rk*Ck²</t>
  </si>
  <si>
    <t>RA+rak+(mu+1)*Rk²</t>
  </si>
  <si>
    <t>gm</t>
  </si>
  <si>
    <t>mA/V</t>
  </si>
  <si>
    <t>A=</t>
  </si>
  <si>
    <t xml:space="preserve">A db = </t>
  </si>
  <si>
    <t>f</t>
  </si>
  <si>
    <t>voir la courbe du gain</t>
  </si>
  <si>
    <t>Retour au formulaire</t>
  </si>
  <si>
    <t>Ze (kohms)</t>
  </si>
  <si>
    <t>voir la courbe d'impédance d'entrée</t>
  </si>
  <si>
    <t>voir la courbe d'impédance de sortie</t>
  </si>
  <si>
    <t>Zs (kohms)</t>
  </si>
  <si>
    <t xml:space="preserve">Sélectionner le cas </t>
  </si>
  <si>
    <t>Cas A</t>
  </si>
  <si>
    <t>Cas B</t>
  </si>
  <si>
    <t>découplée</t>
  </si>
  <si>
    <t>Retour au sommaire</t>
  </si>
  <si>
    <t xml:space="preserve">        A : la résistance de cathode peut être complètement </t>
  </si>
  <si>
    <t xml:space="preserve">          B : la résistance de cathode est nécessairement </t>
  </si>
  <si>
    <t xml:space="preserve"> partiellement découplée</t>
  </si>
  <si>
    <t>Rk non déc</t>
  </si>
  <si>
    <t>Rk déc =</t>
  </si>
  <si>
    <t>Rk = Rndec + Rdec =</t>
  </si>
  <si>
    <t>Cg-a</t>
  </si>
  <si>
    <t>Cg-k</t>
  </si>
  <si>
    <t>Ckb</t>
  </si>
  <si>
    <t>Ckb x Rkd=</t>
  </si>
  <si>
    <t>numfc² =</t>
  </si>
  <si>
    <t>denfc²=</t>
  </si>
  <si>
    <t>A</t>
  </si>
  <si>
    <t>mub+1=</t>
  </si>
  <si>
    <t>Rkd+Rknd  =</t>
  </si>
  <si>
    <t>Ckb x Rkd x Rknd=</t>
  </si>
  <si>
    <t>B</t>
  </si>
  <si>
    <t>C</t>
  </si>
  <si>
    <t>D</t>
  </si>
  <si>
    <t>w0=</t>
  </si>
  <si>
    <t>fc =</t>
  </si>
  <si>
    <t>(Rchb+rakb)=</t>
  </si>
  <si>
    <t>E</t>
  </si>
  <si>
    <t>F</t>
  </si>
  <si>
    <t>Rab*rakb+(mub+1)*Rab*Rknd</t>
  </si>
  <si>
    <t>Rab+rakb+(mub+1)*Rknd</t>
  </si>
  <si>
    <t>E+(mub+1)*Rab*Rkd</t>
  </si>
  <si>
    <t>wECkRdk</t>
  </si>
  <si>
    <t>F+(mub+1)Rkd</t>
  </si>
  <si>
    <t>wFCkbRkd</t>
  </si>
  <si>
    <t>denZs</t>
  </si>
  <si>
    <t xml:space="preserve">             Ck=0 pour cath. non découplée</t>
  </si>
  <si>
    <t>.</t>
  </si>
  <si>
    <t>à - 3 dB</t>
  </si>
  <si>
    <t>Hz</t>
  </si>
  <si>
    <t xml:space="preserve">             Entrer Ck=0 pour une cathode non découplée</t>
  </si>
  <si>
    <t>CALCUL AUTOMATIQUE DES ELEMENTS DE l'ETAGE TRIODE A CATHODE COMMUNE    V.5</t>
  </si>
  <si>
    <t>CALCUL AUTOMATIQUE DES ELEMENTS DE l'ETAGE TRIODE A CATHODE COMMUNE  V.5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</si>
</sst>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0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Arial"/>
      <family val="2"/>
    </font>
    <font>
      <sz val="10.75"/>
      <name val="Arial"/>
      <family val="2"/>
    </font>
    <font>
      <sz val="37"/>
      <name val="Arial"/>
      <family val="0"/>
    </font>
    <font>
      <b/>
      <sz val="14"/>
      <name val="Arial"/>
      <family val="2"/>
    </font>
    <font>
      <sz val="18.75"/>
      <name val="Arial"/>
      <family val="0"/>
    </font>
    <font>
      <sz val="17.75"/>
      <name val="Arial"/>
      <family val="0"/>
    </font>
    <font>
      <b/>
      <u val="single"/>
      <sz val="14"/>
      <color indexed="12"/>
      <name val="Arial"/>
      <family val="2"/>
    </font>
    <font>
      <b/>
      <sz val="14"/>
      <color indexed="13"/>
      <name val="Arial"/>
      <family val="2"/>
    </font>
    <font>
      <sz val="18.5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2" fillId="0" borderId="4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6" fillId="0" borderId="0" xfId="15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 quotePrefix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0" xfId="15" applyAlignment="1">
      <alignment horizontal="left" indent="4"/>
    </xf>
    <xf numFmtId="0" fontId="11" fillId="4" borderId="0" xfId="0" applyFont="1" applyFill="1" applyAlignment="1">
      <alignment horizontal="center" vertical="center"/>
    </xf>
    <xf numFmtId="0" fontId="14" fillId="4" borderId="0" xfId="15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1" xfId="0" applyNumberFormat="1" applyBorder="1" applyAlignment="1" applyProtection="1">
      <alignment/>
      <protection locked="0"/>
    </xf>
    <xf numFmtId="0" fontId="0" fillId="6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Fill="1" applyAlignment="1">
      <alignment/>
    </xf>
    <xf numFmtId="2" fontId="2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7" borderId="1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164" fontId="2" fillId="7" borderId="9" xfId="0" applyNumberFormat="1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7" borderId="13" xfId="0" applyFont="1" applyFill="1" applyBorder="1" applyAlignment="1">
      <alignment/>
    </xf>
    <xf numFmtId="164" fontId="2" fillId="7" borderId="15" xfId="0" applyNumberFormat="1" applyFont="1" applyFill="1" applyBorder="1" applyAlignment="1">
      <alignment/>
    </xf>
    <xf numFmtId="164" fontId="1" fillId="7" borderId="16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Impédance d'entrée = f(w)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GraphZe!$D$4:$AE$4</c:f>
              <c:numCache>
                <c:ptCount val="28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45</c:v>
                </c:pt>
                <c:pt idx="6">
                  <c:v>56</c:v>
                </c:pt>
                <c:pt idx="7">
                  <c:v>75</c:v>
                </c:pt>
                <c:pt idx="8">
                  <c:v>100</c:v>
                </c:pt>
                <c:pt idx="9">
                  <c:v>130</c:v>
                </c:pt>
                <c:pt idx="10">
                  <c:v>180</c:v>
                </c:pt>
                <c:pt idx="11">
                  <c:v>240</c:v>
                </c:pt>
                <c:pt idx="12">
                  <c:v>320</c:v>
                </c:pt>
                <c:pt idx="13">
                  <c:v>450</c:v>
                </c:pt>
                <c:pt idx="14">
                  <c:v>560</c:v>
                </c:pt>
                <c:pt idx="15">
                  <c:v>750</c:v>
                </c:pt>
                <c:pt idx="16">
                  <c:v>1000</c:v>
                </c:pt>
                <c:pt idx="17">
                  <c:v>1300</c:v>
                </c:pt>
                <c:pt idx="18">
                  <c:v>1800</c:v>
                </c:pt>
                <c:pt idx="19">
                  <c:v>2400</c:v>
                </c:pt>
                <c:pt idx="20">
                  <c:v>3200</c:v>
                </c:pt>
                <c:pt idx="21">
                  <c:v>4500</c:v>
                </c:pt>
                <c:pt idx="22">
                  <c:v>5600</c:v>
                </c:pt>
                <c:pt idx="23">
                  <c:v>7500</c:v>
                </c:pt>
                <c:pt idx="24">
                  <c:v>10000</c:v>
                </c:pt>
                <c:pt idx="25">
                  <c:v>13000</c:v>
                </c:pt>
                <c:pt idx="26">
                  <c:v>18000</c:v>
                </c:pt>
                <c:pt idx="27">
                  <c:v>24000</c:v>
                </c:pt>
              </c:numCache>
            </c:numRef>
          </c:cat>
          <c:val>
            <c:numRef>
              <c:f>GraphZe!$D$31:$AE$31</c:f>
              <c:numCache>
                <c:ptCount val="28"/>
                <c:pt idx="0">
                  <c:v>999.9946331528495</c:v>
                </c:pt>
                <c:pt idx="1">
                  <c:v>999.9909170577629</c:v>
                </c:pt>
                <c:pt idx="2">
                  <c:v>999.9825307689867</c:v>
                </c:pt>
                <c:pt idx="3">
                  <c:v>999.9687827879544</c:v>
                </c:pt>
                <c:pt idx="4">
                  <c:v>999.943996791335</c:v>
                </c:pt>
                <c:pt idx="5">
                  <c:v>999.8870364500136</c:v>
                </c:pt>
                <c:pt idx="6">
                  <c:v>999.8213032571052</c:v>
                </c:pt>
                <c:pt idx="7">
                  <c:v>999.6647146910636</c:v>
                </c:pt>
                <c:pt idx="8">
                  <c:v>999.3597243201945</c:v>
                </c:pt>
                <c:pt idx="9">
                  <c:v>998.8077897994898</c:v>
                </c:pt>
                <c:pt idx="10">
                  <c:v>997.2968030401302</c:v>
                </c:pt>
                <c:pt idx="11">
                  <c:v>994.2223519082563</c:v>
                </c:pt>
                <c:pt idx="12">
                  <c:v>987.5312207911329</c:v>
                </c:pt>
                <c:pt idx="13">
                  <c:v>969.9781035851122</c:v>
                </c:pt>
                <c:pt idx="14">
                  <c:v>949.3669724506055</c:v>
                </c:pt>
                <c:pt idx="15">
                  <c:v>904.9168178730532</c:v>
                </c:pt>
                <c:pt idx="16">
                  <c:v>837.7267664079244</c:v>
                </c:pt>
                <c:pt idx="17">
                  <c:v>755.7659458675253</c:v>
                </c:pt>
                <c:pt idx="18">
                  <c:v>634.4323464609208</c:v>
                </c:pt>
                <c:pt idx="19">
                  <c:v>521.9397523620219</c:v>
                </c:pt>
                <c:pt idx="20">
                  <c:v>416.91468344207595</c:v>
                </c:pt>
                <c:pt idx="21">
                  <c:v>311.88345619581565</c:v>
                </c:pt>
                <c:pt idx="22">
                  <c:v>257.2523392660197</c:v>
                </c:pt>
                <c:pt idx="23">
                  <c:v>199.02067516062078</c:v>
                </c:pt>
                <c:pt idx="24">
                  <c:v>156.0477514768399</c:v>
                </c:pt>
                <c:pt idx="25">
                  <c:v>127.11550567735821</c:v>
                </c:pt>
                <c:pt idx="26">
                  <c:v>101.99136763756096</c:v>
                </c:pt>
                <c:pt idx="27">
                  <c:v>87.37393982018749</c:v>
                </c:pt>
              </c:numCache>
            </c:numRef>
          </c:val>
          <c:smooth val="1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Impédance de sortie = f(w)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GraphZs!$B$19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GraphZs!$D$4:$AE$4</c:f>
              <c:numCache>
                <c:ptCount val="28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45</c:v>
                </c:pt>
                <c:pt idx="6">
                  <c:v>56</c:v>
                </c:pt>
                <c:pt idx="7">
                  <c:v>75</c:v>
                </c:pt>
                <c:pt idx="8">
                  <c:v>100</c:v>
                </c:pt>
                <c:pt idx="9">
                  <c:v>130</c:v>
                </c:pt>
                <c:pt idx="10">
                  <c:v>180</c:v>
                </c:pt>
                <c:pt idx="11">
                  <c:v>240</c:v>
                </c:pt>
                <c:pt idx="12">
                  <c:v>320</c:v>
                </c:pt>
                <c:pt idx="13">
                  <c:v>450</c:v>
                </c:pt>
                <c:pt idx="14">
                  <c:v>560</c:v>
                </c:pt>
                <c:pt idx="15">
                  <c:v>750</c:v>
                </c:pt>
                <c:pt idx="16">
                  <c:v>1000</c:v>
                </c:pt>
                <c:pt idx="17">
                  <c:v>1300</c:v>
                </c:pt>
                <c:pt idx="18">
                  <c:v>1800</c:v>
                </c:pt>
                <c:pt idx="19">
                  <c:v>2400</c:v>
                </c:pt>
                <c:pt idx="20">
                  <c:v>3200</c:v>
                </c:pt>
                <c:pt idx="21">
                  <c:v>4500</c:v>
                </c:pt>
                <c:pt idx="22">
                  <c:v>5600</c:v>
                </c:pt>
                <c:pt idx="23">
                  <c:v>7500</c:v>
                </c:pt>
                <c:pt idx="24">
                  <c:v>10000</c:v>
                </c:pt>
                <c:pt idx="25">
                  <c:v>13000</c:v>
                </c:pt>
                <c:pt idx="26">
                  <c:v>18000</c:v>
                </c:pt>
                <c:pt idx="27">
                  <c:v>24000</c:v>
                </c:pt>
              </c:numCache>
            </c:numRef>
          </c:cat>
          <c:val>
            <c:numRef>
              <c:f>GraphZs!$D$19:$AE$19</c:f>
              <c:numCache>
                <c:ptCount val="28"/>
                <c:pt idx="0">
                  <c:v>70.93980113308538</c:v>
                </c:pt>
                <c:pt idx="1">
                  <c:v>70.92893564468422</c:v>
                </c:pt>
                <c:pt idx="2">
                  <c:v>70.90455594893223</c:v>
                </c:pt>
                <c:pt idx="3">
                  <c:v>70.86500262348984</c:v>
                </c:pt>
                <c:pt idx="4">
                  <c:v>70.79493925059033</c:v>
                </c:pt>
                <c:pt idx="5">
                  <c:v>70.63955387941171</c:v>
                </c:pt>
                <c:pt idx="6">
                  <c:v>70.4689481314285</c:v>
                </c:pt>
                <c:pt idx="7">
                  <c:v>70.09364836587112</c:v>
                </c:pt>
                <c:pt idx="8">
                  <c:v>69.4561905124231</c:v>
                </c:pt>
                <c:pt idx="9">
                  <c:v>68.50447739435643</c:v>
                </c:pt>
                <c:pt idx="10">
                  <c:v>66.57669718294969</c:v>
                </c:pt>
                <c:pt idx="11">
                  <c:v>63.94281079708184</c:v>
                </c:pt>
                <c:pt idx="12">
                  <c:v>60.34290115151626</c:v>
                </c:pt>
                <c:pt idx="13">
                  <c:v>55.158050246195685</c:v>
                </c:pt>
                <c:pt idx="14">
                  <c:v>51.718992419957495</c:v>
                </c:pt>
                <c:pt idx="15">
                  <c:v>47.56410839693021</c:v>
                </c:pt>
                <c:pt idx="16">
                  <c:v>44.34778143741009</c:v>
                </c:pt>
                <c:pt idx="17">
                  <c:v>42.247072467589526</c:v>
                </c:pt>
                <c:pt idx="18">
                  <c:v>40.5645862369442</c:v>
                </c:pt>
                <c:pt idx="19">
                  <c:v>39.68282734084422</c:v>
                </c:pt>
                <c:pt idx="20">
                  <c:v>39.161346991636606</c:v>
                </c:pt>
                <c:pt idx="21">
                  <c:v>38.819686349687395</c:v>
                </c:pt>
                <c:pt idx="22">
                  <c:v>38.693822129159</c:v>
                </c:pt>
                <c:pt idx="23">
                  <c:v>38.591501034154476</c:v>
                </c:pt>
                <c:pt idx="24">
                  <c:v>38.53478651570348</c:v>
                </c:pt>
                <c:pt idx="25">
                  <c:v>38.504925420596216</c:v>
                </c:pt>
                <c:pt idx="26">
                  <c:v>38.48418558940193</c:v>
                </c:pt>
                <c:pt idx="27">
                  <c:v>38.47428184339332</c:v>
                </c:pt>
              </c:numCache>
            </c:numRef>
          </c:val>
          <c:smooth val="1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GAIN = f (w)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93025"/>
          <c:h val="0.774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GraphGain!$E$6:$AN$6</c:f>
              <c:numCache>
                <c:ptCount val="36"/>
                <c:pt idx="0">
                  <c:v>1</c:v>
                </c:pt>
                <c:pt idx="1">
                  <c:v>1.3</c:v>
                </c:pt>
                <c:pt idx="2">
                  <c:v>1.8</c:v>
                </c:pt>
                <c:pt idx="3">
                  <c:v>2.4</c:v>
                </c:pt>
                <c:pt idx="4">
                  <c:v>3.2</c:v>
                </c:pt>
                <c:pt idx="5">
                  <c:v>4.5</c:v>
                </c:pt>
                <c:pt idx="6">
                  <c:v>5.6</c:v>
                </c:pt>
                <c:pt idx="7">
                  <c:v>7.5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  <c:pt idx="11">
                  <c:v>24</c:v>
                </c:pt>
                <c:pt idx="12">
                  <c:v>32</c:v>
                </c:pt>
                <c:pt idx="13">
                  <c:v>45</c:v>
                </c:pt>
                <c:pt idx="14">
                  <c:v>56</c:v>
                </c:pt>
                <c:pt idx="15">
                  <c:v>75</c:v>
                </c:pt>
                <c:pt idx="16">
                  <c:v>100</c:v>
                </c:pt>
                <c:pt idx="17">
                  <c:v>130</c:v>
                </c:pt>
                <c:pt idx="18">
                  <c:v>180</c:v>
                </c:pt>
                <c:pt idx="19">
                  <c:v>240</c:v>
                </c:pt>
                <c:pt idx="20">
                  <c:v>320</c:v>
                </c:pt>
                <c:pt idx="21">
                  <c:v>450</c:v>
                </c:pt>
                <c:pt idx="22">
                  <c:v>560</c:v>
                </c:pt>
                <c:pt idx="23">
                  <c:v>750</c:v>
                </c:pt>
                <c:pt idx="24">
                  <c:v>1000</c:v>
                </c:pt>
                <c:pt idx="25">
                  <c:v>1300</c:v>
                </c:pt>
                <c:pt idx="26">
                  <c:v>1800</c:v>
                </c:pt>
                <c:pt idx="27">
                  <c:v>2400</c:v>
                </c:pt>
                <c:pt idx="28">
                  <c:v>3200</c:v>
                </c:pt>
                <c:pt idx="29">
                  <c:v>4500</c:v>
                </c:pt>
                <c:pt idx="30">
                  <c:v>5600</c:v>
                </c:pt>
                <c:pt idx="31">
                  <c:v>7500</c:v>
                </c:pt>
                <c:pt idx="32">
                  <c:v>10000</c:v>
                </c:pt>
                <c:pt idx="33">
                  <c:v>13000</c:v>
                </c:pt>
                <c:pt idx="34">
                  <c:v>18000</c:v>
                </c:pt>
                <c:pt idx="35">
                  <c:v>24000</c:v>
                </c:pt>
              </c:numCache>
            </c:numRef>
          </c:cat>
          <c:val>
            <c:numRef>
              <c:f>GraphGain!$E$22:$AN$22</c:f>
              <c:numCache>
                <c:ptCount val="36"/>
                <c:pt idx="0">
                  <c:v>28.564864558090434</c:v>
                </c:pt>
                <c:pt idx="1">
                  <c:v>28.564864558090434</c:v>
                </c:pt>
                <c:pt idx="2">
                  <c:v>28.564864558090434</c:v>
                </c:pt>
                <c:pt idx="3">
                  <c:v>28.564864558090434</c:v>
                </c:pt>
                <c:pt idx="4">
                  <c:v>28.564864558090434</c:v>
                </c:pt>
                <c:pt idx="5">
                  <c:v>28.564864558090434</c:v>
                </c:pt>
                <c:pt idx="6">
                  <c:v>28.564864558090434</c:v>
                </c:pt>
                <c:pt idx="7">
                  <c:v>28.564864558090434</c:v>
                </c:pt>
                <c:pt idx="8">
                  <c:v>28.564864558090434</c:v>
                </c:pt>
                <c:pt idx="9">
                  <c:v>28.564864558090434</c:v>
                </c:pt>
                <c:pt idx="10">
                  <c:v>28.564864558090434</c:v>
                </c:pt>
                <c:pt idx="11">
                  <c:v>28.564864558090434</c:v>
                </c:pt>
                <c:pt idx="12">
                  <c:v>28.564864558090434</c:v>
                </c:pt>
                <c:pt idx="13">
                  <c:v>28.564864558090434</c:v>
                </c:pt>
                <c:pt idx="14">
                  <c:v>28.564864558090434</c:v>
                </c:pt>
                <c:pt idx="15">
                  <c:v>28.564864558090434</c:v>
                </c:pt>
                <c:pt idx="16">
                  <c:v>28.564864558090434</c:v>
                </c:pt>
                <c:pt idx="17">
                  <c:v>28.564864558090434</c:v>
                </c:pt>
                <c:pt idx="18">
                  <c:v>28.564864558090434</c:v>
                </c:pt>
                <c:pt idx="19">
                  <c:v>28.564864558090434</c:v>
                </c:pt>
                <c:pt idx="20">
                  <c:v>28.564864558090434</c:v>
                </c:pt>
                <c:pt idx="21">
                  <c:v>28.564864558090434</c:v>
                </c:pt>
                <c:pt idx="22">
                  <c:v>28.564864558090434</c:v>
                </c:pt>
                <c:pt idx="23">
                  <c:v>28.564864558090434</c:v>
                </c:pt>
                <c:pt idx="24">
                  <c:v>28.564864558090434</c:v>
                </c:pt>
                <c:pt idx="25">
                  <c:v>28.564864558090434</c:v>
                </c:pt>
                <c:pt idx="26">
                  <c:v>28.564864558090434</c:v>
                </c:pt>
                <c:pt idx="27">
                  <c:v>28.564864558090434</c:v>
                </c:pt>
                <c:pt idx="28">
                  <c:v>28.564864558090434</c:v>
                </c:pt>
                <c:pt idx="29">
                  <c:v>28.564864558090434</c:v>
                </c:pt>
                <c:pt idx="30">
                  <c:v>28.564864558090434</c:v>
                </c:pt>
                <c:pt idx="31">
                  <c:v>28.564864558090434</c:v>
                </c:pt>
                <c:pt idx="32">
                  <c:v>28.564864558090434</c:v>
                </c:pt>
                <c:pt idx="33">
                  <c:v>28.564864558090434</c:v>
                </c:pt>
                <c:pt idx="34">
                  <c:v>28.564864558090434</c:v>
                </c:pt>
                <c:pt idx="35">
                  <c:v>28.564864558090434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GraphGain!$E$23:$AN$23</c:f>
              <c:numCache>
                <c:ptCount val="36"/>
                <c:pt idx="0">
                  <c:v>25.564864558090434</c:v>
                </c:pt>
                <c:pt idx="1">
                  <c:v>25.564864558090434</c:v>
                </c:pt>
                <c:pt idx="2">
                  <c:v>25.564864558090434</c:v>
                </c:pt>
                <c:pt idx="3">
                  <c:v>25.564864558090434</c:v>
                </c:pt>
                <c:pt idx="4">
                  <c:v>25.564864558090434</c:v>
                </c:pt>
                <c:pt idx="5">
                  <c:v>25.564864558090434</c:v>
                </c:pt>
                <c:pt idx="6">
                  <c:v>25.564864558090434</c:v>
                </c:pt>
                <c:pt idx="7">
                  <c:v>25.564864558090434</c:v>
                </c:pt>
                <c:pt idx="8">
                  <c:v>25.564864558090434</c:v>
                </c:pt>
                <c:pt idx="9">
                  <c:v>25.564864558090434</c:v>
                </c:pt>
                <c:pt idx="10">
                  <c:v>25.564864558090434</c:v>
                </c:pt>
                <c:pt idx="11">
                  <c:v>25.564864558090434</c:v>
                </c:pt>
                <c:pt idx="12">
                  <c:v>25.564864558090434</c:v>
                </c:pt>
                <c:pt idx="13">
                  <c:v>25.564864558090434</c:v>
                </c:pt>
                <c:pt idx="14">
                  <c:v>25.564864558090434</c:v>
                </c:pt>
                <c:pt idx="15">
                  <c:v>25.564864558090434</c:v>
                </c:pt>
                <c:pt idx="16">
                  <c:v>25.564864558090434</c:v>
                </c:pt>
                <c:pt idx="17">
                  <c:v>25.564864558090434</c:v>
                </c:pt>
                <c:pt idx="18">
                  <c:v>25.564864558090434</c:v>
                </c:pt>
                <c:pt idx="19">
                  <c:v>25.564864558090434</c:v>
                </c:pt>
                <c:pt idx="20">
                  <c:v>25.564864558090434</c:v>
                </c:pt>
                <c:pt idx="21">
                  <c:v>25.564864558090434</c:v>
                </c:pt>
                <c:pt idx="22">
                  <c:v>25.564864558090434</c:v>
                </c:pt>
                <c:pt idx="23">
                  <c:v>25.564864558090434</c:v>
                </c:pt>
                <c:pt idx="24">
                  <c:v>25.564864558090434</c:v>
                </c:pt>
                <c:pt idx="25">
                  <c:v>25.564864558090434</c:v>
                </c:pt>
                <c:pt idx="26">
                  <c:v>25.564864558090434</c:v>
                </c:pt>
                <c:pt idx="27">
                  <c:v>25.564864558090434</c:v>
                </c:pt>
                <c:pt idx="28">
                  <c:v>25.564864558090434</c:v>
                </c:pt>
                <c:pt idx="29">
                  <c:v>25.564864558090434</c:v>
                </c:pt>
                <c:pt idx="30">
                  <c:v>25.564864558090434</c:v>
                </c:pt>
                <c:pt idx="31">
                  <c:v>25.564864558090434</c:v>
                </c:pt>
                <c:pt idx="32">
                  <c:v>25.564864558090434</c:v>
                </c:pt>
                <c:pt idx="33">
                  <c:v>25.564864558090434</c:v>
                </c:pt>
                <c:pt idx="34">
                  <c:v>25.564864558090434</c:v>
                </c:pt>
                <c:pt idx="35">
                  <c:v>25.564864558090434</c:v>
                </c:pt>
              </c:numCache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At val="20"/>
        <c:auto val="1"/>
        <c:lblOffset val="100"/>
        <c:noMultiLvlLbl val="0"/>
      </c:catAx>
      <c:valAx>
        <c:axId val="2666446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GAIN = f (w)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93025"/>
          <c:h val="0.774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GraphGainB!$E$6:$AN$6</c:f>
              <c:numCache>
                <c:ptCount val="36"/>
                <c:pt idx="0">
                  <c:v>1</c:v>
                </c:pt>
                <c:pt idx="1">
                  <c:v>1.3</c:v>
                </c:pt>
                <c:pt idx="2">
                  <c:v>1.8</c:v>
                </c:pt>
                <c:pt idx="3">
                  <c:v>2.4</c:v>
                </c:pt>
                <c:pt idx="4">
                  <c:v>3.2</c:v>
                </c:pt>
                <c:pt idx="5">
                  <c:v>4.5</c:v>
                </c:pt>
                <c:pt idx="6">
                  <c:v>5.6</c:v>
                </c:pt>
                <c:pt idx="7">
                  <c:v>7.5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  <c:pt idx="11">
                  <c:v>24</c:v>
                </c:pt>
                <c:pt idx="12">
                  <c:v>32</c:v>
                </c:pt>
                <c:pt idx="13">
                  <c:v>45</c:v>
                </c:pt>
                <c:pt idx="14">
                  <c:v>56</c:v>
                </c:pt>
                <c:pt idx="15">
                  <c:v>75</c:v>
                </c:pt>
                <c:pt idx="16">
                  <c:v>100</c:v>
                </c:pt>
                <c:pt idx="17">
                  <c:v>130</c:v>
                </c:pt>
                <c:pt idx="18">
                  <c:v>180</c:v>
                </c:pt>
                <c:pt idx="19">
                  <c:v>240</c:v>
                </c:pt>
                <c:pt idx="20">
                  <c:v>320</c:v>
                </c:pt>
                <c:pt idx="21">
                  <c:v>450</c:v>
                </c:pt>
                <c:pt idx="22">
                  <c:v>560</c:v>
                </c:pt>
                <c:pt idx="23">
                  <c:v>750</c:v>
                </c:pt>
                <c:pt idx="24">
                  <c:v>1000</c:v>
                </c:pt>
                <c:pt idx="25">
                  <c:v>1300</c:v>
                </c:pt>
                <c:pt idx="26">
                  <c:v>1800</c:v>
                </c:pt>
                <c:pt idx="27">
                  <c:v>2400</c:v>
                </c:pt>
                <c:pt idx="28">
                  <c:v>3200</c:v>
                </c:pt>
                <c:pt idx="29">
                  <c:v>4500</c:v>
                </c:pt>
                <c:pt idx="30">
                  <c:v>5600</c:v>
                </c:pt>
                <c:pt idx="31">
                  <c:v>7500</c:v>
                </c:pt>
                <c:pt idx="32">
                  <c:v>10000</c:v>
                </c:pt>
                <c:pt idx="33">
                  <c:v>13000</c:v>
                </c:pt>
                <c:pt idx="34">
                  <c:v>18000</c:v>
                </c:pt>
                <c:pt idx="35">
                  <c:v>24000</c:v>
                </c:pt>
              </c:numCache>
            </c:numRef>
          </c:cat>
          <c:val>
            <c:numRef>
              <c:f>GraphGainB!$E$22:$AN$22</c:f>
              <c:numCache>
                <c:ptCount val="36"/>
                <c:pt idx="0">
                  <c:v>26.535136711645983</c:v>
                </c:pt>
                <c:pt idx="1">
                  <c:v>26.535234888609985</c:v>
                </c:pt>
                <c:pt idx="2">
                  <c:v>26.535455418308132</c:v>
                </c:pt>
                <c:pt idx="3">
                  <c:v>26.535813919234176</c:v>
                </c:pt>
                <c:pt idx="4">
                  <c:v>26.53645113903222</c:v>
                </c:pt>
                <c:pt idx="5">
                  <c:v>26.53787439455089</c:v>
                </c:pt>
                <c:pt idx="6">
                  <c:v>26.539453191032344</c:v>
                </c:pt>
                <c:pt idx="7">
                  <c:v>26.54298692420598</c:v>
                </c:pt>
                <c:pt idx="8">
                  <c:v>26.549187311765504</c:v>
                </c:pt>
                <c:pt idx="9">
                  <c:v>26.558937888915533</c:v>
                </c:pt>
                <c:pt idx="10">
                  <c:v>26.580715951989106</c:v>
                </c:pt>
                <c:pt idx="11">
                  <c:v>26.615757474083654</c:v>
                </c:pt>
                <c:pt idx="12">
                  <c:v>26.676963305907275</c:v>
                </c:pt>
                <c:pt idx="13">
                  <c:v>26.808912595475793</c:v>
                </c:pt>
                <c:pt idx="14">
                  <c:v>26.94811034094096</c:v>
                </c:pt>
                <c:pt idx="15">
                  <c:v>27.23539132369886</c:v>
                </c:pt>
                <c:pt idx="16">
                  <c:v>27.672338053377473</c:v>
                </c:pt>
                <c:pt idx="17">
                  <c:v>28.230304661903176</c:v>
                </c:pt>
                <c:pt idx="18">
                  <c:v>29.11863076990464</c:v>
                </c:pt>
                <c:pt idx="19">
                  <c:v>30.003092686237412</c:v>
                </c:pt>
                <c:pt idx="20">
                  <c:v>30.85771314122671</c:v>
                </c:pt>
                <c:pt idx="21">
                  <c:v>31.69128517392865</c:v>
                </c:pt>
                <c:pt idx="22">
                  <c:v>32.09035612079446</c:v>
                </c:pt>
                <c:pt idx="23">
                  <c:v>32.467607199406764</c:v>
                </c:pt>
                <c:pt idx="24">
                  <c:v>32.7020787652903</c:v>
                </c:pt>
                <c:pt idx="25">
                  <c:v>32.83403369856006</c:v>
                </c:pt>
                <c:pt idx="26">
                  <c:v>32.92947716994658</c:v>
                </c:pt>
                <c:pt idx="27">
                  <c:v>32.976213898606105</c:v>
                </c:pt>
                <c:pt idx="28">
                  <c:v>33.00285865882212</c:v>
                </c:pt>
                <c:pt idx="29">
                  <c:v>33.0199283754181</c:v>
                </c:pt>
                <c:pt idx="30">
                  <c:v>33.026140930070405</c:v>
                </c:pt>
                <c:pt idx="31">
                  <c:v>33.03116169828109</c:v>
                </c:pt>
                <c:pt idx="32">
                  <c:v>33.03393319337202</c:v>
                </c:pt>
                <c:pt idx="33">
                  <c:v>33.03538916982286</c:v>
                </c:pt>
                <c:pt idx="34">
                  <c:v>33.03639908841683</c:v>
                </c:pt>
                <c:pt idx="35">
                  <c:v>33.03688096634956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GraphGainB!$E$23:$AN$23</c:f>
              <c:numCache>
                <c:ptCount val="36"/>
                <c:pt idx="0">
                  <c:v>30.03743718581486</c:v>
                </c:pt>
                <c:pt idx="1">
                  <c:v>30.03743718581486</c:v>
                </c:pt>
                <c:pt idx="2">
                  <c:v>30.03743718581486</c:v>
                </c:pt>
                <c:pt idx="3">
                  <c:v>30.03743718581486</c:v>
                </c:pt>
                <c:pt idx="4">
                  <c:v>30.03743718581486</c:v>
                </c:pt>
                <c:pt idx="5">
                  <c:v>30.03743718581486</c:v>
                </c:pt>
                <c:pt idx="6">
                  <c:v>30.03743718581486</c:v>
                </c:pt>
                <c:pt idx="7">
                  <c:v>30.03743718581486</c:v>
                </c:pt>
                <c:pt idx="8">
                  <c:v>30.03743718581486</c:v>
                </c:pt>
                <c:pt idx="9">
                  <c:v>30.03743718581486</c:v>
                </c:pt>
                <c:pt idx="10">
                  <c:v>30.03743718581486</c:v>
                </c:pt>
                <c:pt idx="11">
                  <c:v>30.03743718581486</c:v>
                </c:pt>
                <c:pt idx="12">
                  <c:v>30.03743718581486</c:v>
                </c:pt>
                <c:pt idx="13">
                  <c:v>30.03743718581486</c:v>
                </c:pt>
                <c:pt idx="14">
                  <c:v>30.03743718581486</c:v>
                </c:pt>
                <c:pt idx="15">
                  <c:v>30.03743718581486</c:v>
                </c:pt>
                <c:pt idx="16">
                  <c:v>30.03743718581486</c:v>
                </c:pt>
                <c:pt idx="17">
                  <c:v>30.03743718581486</c:v>
                </c:pt>
                <c:pt idx="18">
                  <c:v>30.03743718581486</c:v>
                </c:pt>
                <c:pt idx="19">
                  <c:v>30.03743718581486</c:v>
                </c:pt>
                <c:pt idx="20">
                  <c:v>30.03743718581486</c:v>
                </c:pt>
                <c:pt idx="21">
                  <c:v>30.03743718581486</c:v>
                </c:pt>
                <c:pt idx="22">
                  <c:v>30.03743718581486</c:v>
                </c:pt>
                <c:pt idx="23">
                  <c:v>30.03743718581486</c:v>
                </c:pt>
                <c:pt idx="24">
                  <c:v>30.03743718581486</c:v>
                </c:pt>
                <c:pt idx="25">
                  <c:v>30.03743718581486</c:v>
                </c:pt>
                <c:pt idx="26">
                  <c:v>30.03743718581486</c:v>
                </c:pt>
                <c:pt idx="27">
                  <c:v>30.03743718581486</c:v>
                </c:pt>
                <c:pt idx="28">
                  <c:v>30.03743718581486</c:v>
                </c:pt>
                <c:pt idx="29">
                  <c:v>30.03743718581486</c:v>
                </c:pt>
                <c:pt idx="30">
                  <c:v>30.03743718581486</c:v>
                </c:pt>
                <c:pt idx="31">
                  <c:v>30.03743718581486</c:v>
                </c:pt>
                <c:pt idx="32">
                  <c:v>30.03743718581486</c:v>
                </c:pt>
                <c:pt idx="33">
                  <c:v>30.03743718581486</c:v>
                </c:pt>
                <c:pt idx="34">
                  <c:v>30.03743718581486</c:v>
                </c:pt>
                <c:pt idx="35">
                  <c:v>30.03743718581486</c:v>
                </c:pt>
              </c:numCache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At val="20"/>
        <c:auto val="1"/>
        <c:lblOffset val="100"/>
        <c:noMultiLvlLbl val="0"/>
      </c:catAx>
      <c:valAx>
        <c:axId val="1233778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Impédance d'entrée = f(w)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GraphZeB!$D$4:$AE$4</c:f>
              <c:numCache>
                <c:ptCount val="28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45</c:v>
                </c:pt>
                <c:pt idx="6">
                  <c:v>56</c:v>
                </c:pt>
                <c:pt idx="7">
                  <c:v>75</c:v>
                </c:pt>
                <c:pt idx="8">
                  <c:v>100</c:v>
                </c:pt>
                <c:pt idx="9">
                  <c:v>130</c:v>
                </c:pt>
                <c:pt idx="10">
                  <c:v>180</c:v>
                </c:pt>
                <c:pt idx="11">
                  <c:v>240</c:v>
                </c:pt>
                <c:pt idx="12">
                  <c:v>320</c:v>
                </c:pt>
                <c:pt idx="13">
                  <c:v>450</c:v>
                </c:pt>
                <c:pt idx="14">
                  <c:v>560</c:v>
                </c:pt>
                <c:pt idx="15">
                  <c:v>750</c:v>
                </c:pt>
                <c:pt idx="16">
                  <c:v>1000</c:v>
                </c:pt>
                <c:pt idx="17">
                  <c:v>1300</c:v>
                </c:pt>
                <c:pt idx="18">
                  <c:v>1800</c:v>
                </c:pt>
                <c:pt idx="19">
                  <c:v>2400</c:v>
                </c:pt>
                <c:pt idx="20">
                  <c:v>3200</c:v>
                </c:pt>
                <c:pt idx="21">
                  <c:v>4500</c:v>
                </c:pt>
                <c:pt idx="22">
                  <c:v>5600</c:v>
                </c:pt>
                <c:pt idx="23">
                  <c:v>7500</c:v>
                </c:pt>
                <c:pt idx="24">
                  <c:v>10000</c:v>
                </c:pt>
                <c:pt idx="25">
                  <c:v>13000</c:v>
                </c:pt>
                <c:pt idx="26">
                  <c:v>18000</c:v>
                </c:pt>
                <c:pt idx="27">
                  <c:v>24000</c:v>
                </c:pt>
              </c:numCache>
            </c:numRef>
          </c:cat>
          <c:val>
            <c:numRef>
              <c:f>GraphZeB!$D$31:$AE$31</c:f>
              <c:numCache>
                <c:ptCount val="28"/>
                <c:pt idx="0">
                  <c:v>999.985793653772</c:v>
                </c:pt>
                <c:pt idx="1">
                  <c:v>999.9759786144072</c:v>
                </c:pt>
                <c:pt idx="2">
                  <c:v>999.9538927905924</c:v>
                </c:pt>
                <c:pt idx="3">
                  <c:v>999.917875242661</c:v>
                </c:pt>
                <c:pt idx="4">
                  <c:v>999.8535103638067</c:v>
                </c:pt>
                <c:pt idx="5">
                  <c:v>999.708183193314</c:v>
                </c:pt>
                <c:pt idx="6">
                  <c:v>999.5445143496853</c:v>
                </c:pt>
                <c:pt idx="7">
                  <c:v>999.1692680033962</c:v>
                </c:pt>
                <c:pt idx="8">
                  <c:v>998.4834871249301</c:v>
                </c:pt>
                <c:pt idx="9">
                  <c:v>997.343791943724</c:v>
                </c:pt>
                <c:pt idx="10">
                  <c:v>994.5882480904944</c:v>
                </c:pt>
                <c:pt idx="11">
                  <c:v>989.7470714707608</c:v>
                </c:pt>
                <c:pt idx="12">
                  <c:v>980.6435168604753</c:v>
                </c:pt>
                <c:pt idx="13">
                  <c:v>959.9811040461141</c:v>
                </c:pt>
                <c:pt idx="14">
                  <c:v>937.8636302157931</c:v>
                </c:pt>
                <c:pt idx="15">
                  <c:v>892.7876209407592</c:v>
                </c:pt>
                <c:pt idx="16">
                  <c:v>826.8180985804466</c:v>
                </c:pt>
                <c:pt idx="17">
                  <c:v>747.1579263981845</c:v>
                </c:pt>
                <c:pt idx="18">
                  <c:v>629.0727004468672</c:v>
                </c:pt>
                <c:pt idx="19">
                  <c:v>518.894520195827</c:v>
                </c:pt>
                <c:pt idx="20">
                  <c:v>415.3613358541979</c:v>
                </c:pt>
                <c:pt idx="21">
                  <c:v>311.2497566788733</c:v>
                </c:pt>
                <c:pt idx="22">
                  <c:v>256.90955333066285</c:v>
                </c:pt>
                <c:pt idx="23">
                  <c:v>198.87500193916563</c:v>
                </c:pt>
                <c:pt idx="24">
                  <c:v>155.98708088438</c:v>
                </c:pt>
                <c:pt idx="25">
                  <c:v>127.08898759789115</c:v>
                </c:pt>
                <c:pt idx="26">
                  <c:v>101.98226974310116</c:v>
                </c:pt>
                <c:pt idx="27">
                  <c:v>87.37056071401263</c:v>
                </c:pt>
              </c:numCache>
            </c:numRef>
          </c:val>
          <c:smooth val="1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Impédance de sortie = f(w)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GraphZsB!$B$19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GraphZsB!$D$4:$AE$4</c:f>
              <c:numCache>
                <c:ptCount val="28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45</c:v>
                </c:pt>
                <c:pt idx="6">
                  <c:v>56</c:v>
                </c:pt>
                <c:pt idx="7">
                  <c:v>75</c:v>
                </c:pt>
                <c:pt idx="8">
                  <c:v>100</c:v>
                </c:pt>
                <c:pt idx="9">
                  <c:v>130</c:v>
                </c:pt>
                <c:pt idx="10">
                  <c:v>180</c:v>
                </c:pt>
                <c:pt idx="11">
                  <c:v>240</c:v>
                </c:pt>
                <c:pt idx="12">
                  <c:v>320</c:v>
                </c:pt>
                <c:pt idx="13">
                  <c:v>450</c:v>
                </c:pt>
                <c:pt idx="14">
                  <c:v>560</c:v>
                </c:pt>
                <c:pt idx="15">
                  <c:v>750</c:v>
                </c:pt>
                <c:pt idx="16">
                  <c:v>1000</c:v>
                </c:pt>
                <c:pt idx="17">
                  <c:v>1300</c:v>
                </c:pt>
                <c:pt idx="18">
                  <c:v>1800</c:v>
                </c:pt>
                <c:pt idx="19">
                  <c:v>2400</c:v>
                </c:pt>
                <c:pt idx="20">
                  <c:v>3200</c:v>
                </c:pt>
                <c:pt idx="21">
                  <c:v>4500</c:v>
                </c:pt>
                <c:pt idx="22">
                  <c:v>5600</c:v>
                </c:pt>
                <c:pt idx="23">
                  <c:v>7500</c:v>
                </c:pt>
                <c:pt idx="24">
                  <c:v>10000</c:v>
                </c:pt>
                <c:pt idx="25">
                  <c:v>13000</c:v>
                </c:pt>
                <c:pt idx="26">
                  <c:v>18000</c:v>
                </c:pt>
                <c:pt idx="27">
                  <c:v>24000</c:v>
                </c:pt>
              </c:numCache>
            </c:numRef>
          </c:cat>
          <c:val>
            <c:numRef>
              <c:f>GraphZsB!$D$19:$AE$19</c:f>
              <c:numCache>
                <c:ptCount val="28"/>
                <c:pt idx="0">
                  <c:v>72.32380124293779</c:v>
                </c:pt>
                <c:pt idx="1">
                  <c:v>72.31595289315017</c:v>
                </c:pt>
                <c:pt idx="2">
                  <c:v>72.29834553412539</c:v>
                </c:pt>
                <c:pt idx="3">
                  <c:v>72.26978710383204</c:v>
                </c:pt>
                <c:pt idx="4">
                  <c:v>72.2192226001222</c:v>
                </c:pt>
                <c:pt idx="5">
                  <c:v>72.10718598952833</c:v>
                </c:pt>
                <c:pt idx="6">
                  <c:v>71.98434114325772</c:v>
                </c:pt>
                <c:pt idx="7">
                  <c:v>71.71471859370783</c:v>
                </c:pt>
                <c:pt idx="8">
                  <c:v>71.25869108734985</c:v>
                </c:pt>
                <c:pt idx="9">
                  <c:v>70.58240084735218</c:v>
                </c:pt>
                <c:pt idx="10">
                  <c:v>69.22935084966694</c:v>
                </c:pt>
                <c:pt idx="11">
                  <c:v>67.41766538809212</c:v>
                </c:pt>
                <c:pt idx="12">
                  <c:v>65.01223230002294</c:v>
                </c:pt>
                <c:pt idx="13">
                  <c:v>61.69721789739794</c:v>
                </c:pt>
                <c:pt idx="14">
                  <c:v>59.60079297596751</c:v>
                </c:pt>
                <c:pt idx="15">
                  <c:v>57.183782153947476</c:v>
                </c:pt>
                <c:pt idx="16">
                  <c:v>55.40489367534485</c:v>
                </c:pt>
                <c:pt idx="17">
                  <c:v>54.288833054290755</c:v>
                </c:pt>
                <c:pt idx="18">
                  <c:v>53.42217132721048</c:v>
                </c:pt>
                <c:pt idx="19">
                  <c:v>52.97791267390742</c:v>
                </c:pt>
                <c:pt idx="20">
                  <c:v>52.718453409872744</c:v>
                </c:pt>
                <c:pt idx="21">
                  <c:v>52.5497983079217</c:v>
                </c:pt>
                <c:pt idx="22">
                  <c:v>52.48793575886113</c:v>
                </c:pt>
                <c:pt idx="23">
                  <c:v>52.437751517160905</c:v>
                </c:pt>
                <c:pt idx="24">
                  <c:v>52.40997673904012</c:v>
                </c:pt>
                <c:pt idx="25">
                  <c:v>52.39536473850997</c:v>
                </c:pt>
                <c:pt idx="26">
                  <c:v>52.38522088597902</c:v>
                </c:pt>
                <c:pt idx="27">
                  <c:v>52.380378357185315</c:v>
                </c:pt>
              </c:numCache>
            </c:numRef>
          </c:val>
          <c:smooth val="1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FormulaireA!A1" /><Relationship Id="rId3" Type="http://schemas.openxmlformats.org/officeDocument/2006/relationships/hyperlink" Target="#FormulaireA!A1" /><Relationship Id="rId4" Type="http://schemas.openxmlformats.org/officeDocument/2006/relationships/image" Target="../media/image6.emf" /><Relationship Id="rId5" Type="http://schemas.openxmlformats.org/officeDocument/2006/relationships/hyperlink" Target="#FormulaireB!B1" /><Relationship Id="rId6" Type="http://schemas.openxmlformats.org/officeDocument/2006/relationships/hyperlink" Target="#FormulaireB!B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9</xdr:row>
      <xdr:rowOff>9525</xdr:rowOff>
    </xdr:from>
    <xdr:to>
      <xdr:col>6</xdr:col>
      <xdr:colOff>485775</xdr:colOff>
      <xdr:row>30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85925"/>
          <a:ext cx="320040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314325</xdr:colOff>
      <xdr:row>8</xdr:row>
      <xdr:rowOff>95250</xdr:rowOff>
    </xdr:from>
    <xdr:to>
      <xdr:col>12</xdr:col>
      <xdr:colOff>419100</xdr:colOff>
      <xdr:row>33</xdr:row>
      <xdr:rowOff>28575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609725"/>
          <a:ext cx="31527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4</xdr:row>
      <xdr:rowOff>9525</xdr:rowOff>
    </xdr:from>
    <xdr:to>
      <xdr:col>19</xdr:col>
      <xdr:colOff>104775</xdr:colOff>
      <xdr:row>18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781050"/>
          <a:ext cx="4752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10</xdr:row>
      <xdr:rowOff>47625</xdr:rowOff>
    </xdr:from>
    <xdr:to>
      <xdr:col>10</xdr:col>
      <xdr:colOff>676275</xdr:colOff>
      <xdr:row>12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8181975" y="1847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</xdr:row>
      <xdr:rowOff>76200</xdr:rowOff>
    </xdr:from>
    <xdr:to>
      <xdr:col>10</xdr:col>
      <xdr:colOff>676275</xdr:colOff>
      <xdr:row>8</xdr:row>
      <xdr:rowOff>66675</xdr:rowOff>
    </xdr:to>
    <xdr:sp>
      <xdr:nvSpPr>
        <xdr:cNvPr id="3" name="Line 11"/>
        <xdr:cNvSpPr>
          <a:spLocks/>
        </xdr:cNvSpPr>
      </xdr:nvSpPr>
      <xdr:spPr>
        <a:xfrm flipV="1">
          <a:off x="8181975" y="1190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3</xdr:row>
      <xdr:rowOff>19050</xdr:rowOff>
    </xdr:from>
    <xdr:to>
      <xdr:col>5</xdr:col>
      <xdr:colOff>647700</xdr:colOff>
      <xdr:row>30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28650"/>
          <a:ext cx="40957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7</xdr:row>
      <xdr:rowOff>19050</xdr:rowOff>
    </xdr:from>
    <xdr:to>
      <xdr:col>6</xdr:col>
      <xdr:colOff>419100</xdr:colOff>
      <xdr:row>7</xdr:row>
      <xdr:rowOff>85725</xdr:rowOff>
    </xdr:to>
    <xdr:sp>
      <xdr:nvSpPr>
        <xdr:cNvPr id="5" name="Line 17"/>
        <xdr:cNvSpPr>
          <a:spLocks/>
        </xdr:cNvSpPr>
      </xdr:nvSpPr>
      <xdr:spPr>
        <a:xfrm flipH="1" flipV="1">
          <a:off x="2533650" y="1304925"/>
          <a:ext cx="2457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76200</xdr:rowOff>
    </xdr:from>
    <xdr:to>
      <xdr:col>6</xdr:col>
      <xdr:colOff>200025</xdr:colOff>
      <xdr:row>13</xdr:row>
      <xdr:rowOff>123825</xdr:rowOff>
    </xdr:to>
    <xdr:sp>
      <xdr:nvSpPr>
        <xdr:cNvPr id="6" name="Line 18"/>
        <xdr:cNvSpPr>
          <a:spLocks/>
        </xdr:cNvSpPr>
      </xdr:nvSpPr>
      <xdr:spPr>
        <a:xfrm flipH="1">
          <a:off x="2819400" y="1704975"/>
          <a:ext cx="1952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12</xdr:row>
      <xdr:rowOff>76200</xdr:rowOff>
    </xdr:from>
    <xdr:to>
      <xdr:col>6</xdr:col>
      <xdr:colOff>438150</xdr:colOff>
      <xdr:row>15</xdr:row>
      <xdr:rowOff>104775</xdr:rowOff>
    </xdr:to>
    <xdr:sp>
      <xdr:nvSpPr>
        <xdr:cNvPr id="7" name="Line 19"/>
        <xdr:cNvSpPr>
          <a:spLocks/>
        </xdr:cNvSpPr>
      </xdr:nvSpPr>
      <xdr:spPr>
        <a:xfrm flipH="1">
          <a:off x="4410075" y="2209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19</xdr:row>
      <xdr:rowOff>133350</xdr:rowOff>
    </xdr:from>
    <xdr:to>
      <xdr:col>6</xdr:col>
      <xdr:colOff>371475</xdr:colOff>
      <xdr:row>23</xdr:row>
      <xdr:rowOff>38100</xdr:rowOff>
    </xdr:to>
    <xdr:sp>
      <xdr:nvSpPr>
        <xdr:cNvPr id="8" name="Line 20"/>
        <xdr:cNvSpPr>
          <a:spLocks/>
        </xdr:cNvSpPr>
      </xdr:nvSpPr>
      <xdr:spPr>
        <a:xfrm flipH="1">
          <a:off x="4171950" y="3419475"/>
          <a:ext cx="771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38100</xdr:rowOff>
    </xdr:from>
    <xdr:to>
      <xdr:col>5</xdr:col>
      <xdr:colOff>361950</xdr:colOff>
      <xdr:row>25</xdr:row>
      <xdr:rowOff>19050</xdr:rowOff>
    </xdr:to>
    <xdr:sp>
      <xdr:nvSpPr>
        <xdr:cNvPr id="9" name="Line 21"/>
        <xdr:cNvSpPr>
          <a:spLocks/>
        </xdr:cNvSpPr>
      </xdr:nvSpPr>
      <xdr:spPr>
        <a:xfrm flipH="1">
          <a:off x="2343150" y="4000500"/>
          <a:ext cx="1828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161925</xdr:rowOff>
    </xdr:from>
    <xdr:to>
      <xdr:col>6</xdr:col>
      <xdr:colOff>276225</xdr:colOff>
      <xdr:row>25</xdr:row>
      <xdr:rowOff>142875</xdr:rowOff>
    </xdr:to>
    <xdr:sp>
      <xdr:nvSpPr>
        <xdr:cNvPr id="10" name="Line 22"/>
        <xdr:cNvSpPr>
          <a:spLocks/>
        </xdr:cNvSpPr>
      </xdr:nvSpPr>
      <xdr:spPr>
        <a:xfrm flipH="1">
          <a:off x="3381375" y="3790950"/>
          <a:ext cx="1466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123825</xdr:rowOff>
    </xdr:from>
    <xdr:to>
      <xdr:col>6</xdr:col>
      <xdr:colOff>152400</xdr:colOff>
      <xdr:row>30</xdr:row>
      <xdr:rowOff>66675</xdr:rowOff>
    </xdr:to>
    <xdr:sp>
      <xdr:nvSpPr>
        <xdr:cNvPr id="11" name="Line 24"/>
        <xdr:cNvSpPr>
          <a:spLocks/>
        </xdr:cNvSpPr>
      </xdr:nvSpPr>
      <xdr:spPr>
        <a:xfrm flipH="1">
          <a:off x="3133725" y="5000625"/>
          <a:ext cx="1590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30</xdr:row>
      <xdr:rowOff>76200</xdr:rowOff>
    </xdr:from>
    <xdr:to>
      <xdr:col>4</xdr:col>
      <xdr:colOff>85725</xdr:colOff>
      <xdr:row>30</xdr:row>
      <xdr:rowOff>76200</xdr:rowOff>
    </xdr:to>
    <xdr:sp>
      <xdr:nvSpPr>
        <xdr:cNvPr id="12" name="Line 25"/>
        <xdr:cNvSpPr>
          <a:spLocks/>
        </xdr:cNvSpPr>
      </xdr:nvSpPr>
      <xdr:spPr>
        <a:xfrm flipH="1">
          <a:off x="1371600" y="5295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114300</xdr:rowOff>
    </xdr:from>
    <xdr:to>
      <xdr:col>1</xdr:col>
      <xdr:colOff>619125</xdr:colOff>
      <xdr:row>30</xdr:row>
      <xdr:rowOff>76200</xdr:rowOff>
    </xdr:to>
    <xdr:sp>
      <xdr:nvSpPr>
        <xdr:cNvPr id="13" name="Line 26"/>
        <xdr:cNvSpPr>
          <a:spLocks/>
        </xdr:cNvSpPr>
      </xdr:nvSpPr>
      <xdr:spPr>
        <a:xfrm flipH="1" flipV="1">
          <a:off x="1200150" y="3067050"/>
          <a:ext cx="1809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95250</xdr:rowOff>
    </xdr:from>
    <xdr:to>
      <xdr:col>6</xdr:col>
      <xdr:colOff>133350</xdr:colOff>
      <xdr:row>32</xdr:row>
      <xdr:rowOff>38100</xdr:rowOff>
    </xdr:to>
    <xdr:sp>
      <xdr:nvSpPr>
        <xdr:cNvPr id="14" name="Line 29"/>
        <xdr:cNvSpPr>
          <a:spLocks/>
        </xdr:cNvSpPr>
      </xdr:nvSpPr>
      <xdr:spPr>
        <a:xfrm flipH="1">
          <a:off x="3105150" y="5314950"/>
          <a:ext cx="1600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38100</xdr:rowOff>
    </xdr:from>
    <xdr:to>
      <xdr:col>4</xdr:col>
      <xdr:colOff>57150</xdr:colOff>
      <xdr:row>32</xdr:row>
      <xdr:rowOff>38100</xdr:rowOff>
    </xdr:to>
    <xdr:sp>
      <xdr:nvSpPr>
        <xdr:cNvPr id="15" name="Line 30"/>
        <xdr:cNvSpPr>
          <a:spLocks/>
        </xdr:cNvSpPr>
      </xdr:nvSpPr>
      <xdr:spPr>
        <a:xfrm flipH="1">
          <a:off x="1304925" y="5591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23</xdr:row>
      <xdr:rowOff>152400</xdr:rowOff>
    </xdr:from>
    <xdr:to>
      <xdr:col>1</xdr:col>
      <xdr:colOff>542925</xdr:colOff>
      <xdr:row>32</xdr:row>
      <xdr:rowOff>38100</xdr:rowOff>
    </xdr:to>
    <xdr:sp>
      <xdr:nvSpPr>
        <xdr:cNvPr id="16" name="Line 31"/>
        <xdr:cNvSpPr>
          <a:spLocks/>
        </xdr:cNvSpPr>
      </xdr:nvSpPr>
      <xdr:spPr>
        <a:xfrm flipH="1" flipV="1">
          <a:off x="990600" y="4114800"/>
          <a:ext cx="314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12</xdr:row>
      <xdr:rowOff>19050</xdr:rowOff>
    </xdr:from>
    <xdr:to>
      <xdr:col>1</xdr:col>
      <xdr:colOff>647700</xdr:colOff>
      <xdr:row>13</xdr:row>
      <xdr:rowOff>85725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215265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19</xdr:row>
      <xdr:rowOff>19050</xdr:rowOff>
    </xdr:from>
    <xdr:to>
      <xdr:col>2</xdr:col>
      <xdr:colOff>19050</xdr:colOff>
      <xdr:row>20</xdr:row>
      <xdr:rowOff>57150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3051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57150</xdr:rowOff>
    </xdr:from>
    <xdr:to>
      <xdr:col>14</xdr:col>
      <xdr:colOff>123825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95275" y="381000"/>
        <a:ext cx="128206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16</xdr:col>
      <xdr:colOff>257175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762000" y="342900"/>
        <a:ext cx="116871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28575</xdr:rowOff>
    </xdr:from>
    <xdr:to>
      <xdr:col>16</xdr:col>
      <xdr:colOff>685800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33350" y="352425"/>
        <a:ext cx="127444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3</xdr:row>
      <xdr:rowOff>152400</xdr:rowOff>
    </xdr:from>
    <xdr:to>
      <xdr:col>19</xdr:col>
      <xdr:colOff>123825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733425"/>
          <a:ext cx="4752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10</xdr:row>
      <xdr:rowOff>95250</xdr:rowOff>
    </xdr:from>
    <xdr:to>
      <xdr:col>10</xdr:col>
      <xdr:colOff>552450</xdr:colOff>
      <xdr:row>13</xdr:row>
      <xdr:rowOff>38100</xdr:rowOff>
    </xdr:to>
    <xdr:sp>
      <xdr:nvSpPr>
        <xdr:cNvPr id="2" name="Line 2"/>
        <xdr:cNvSpPr>
          <a:spLocks/>
        </xdr:cNvSpPr>
      </xdr:nvSpPr>
      <xdr:spPr>
        <a:xfrm>
          <a:off x="7715250" y="1866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6</xdr:row>
      <xdr:rowOff>114300</xdr:rowOff>
    </xdr:from>
    <xdr:to>
      <xdr:col>10</xdr:col>
      <xdr:colOff>571500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7734300" y="1200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12</xdr:row>
      <xdr:rowOff>76200</xdr:rowOff>
    </xdr:from>
    <xdr:to>
      <xdr:col>6</xdr:col>
      <xdr:colOff>438150</xdr:colOff>
      <xdr:row>15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4124325" y="2181225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30</xdr:row>
      <xdr:rowOff>76200</xdr:rowOff>
    </xdr:from>
    <xdr:to>
      <xdr:col>4</xdr:col>
      <xdr:colOff>85725</xdr:colOff>
      <xdr:row>30</xdr:row>
      <xdr:rowOff>76200</xdr:rowOff>
    </xdr:to>
    <xdr:sp>
      <xdr:nvSpPr>
        <xdr:cNvPr id="5" name="Line 12"/>
        <xdr:cNvSpPr>
          <a:spLocks/>
        </xdr:cNvSpPr>
      </xdr:nvSpPr>
      <xdr:spPr>
        <a:xfrm flipH="1">
          <a:off x="1085850" y="5286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114300</xdr:rowOff>
    </xdr:from>
    <xdr:to>
      <xdr:col>1</xdr:col>
      <xdr:colOff>619125</xdr:colOff>
      <xdr:row>30</xdr:row>
      <xdr:rowOff>76200</xdr:rowOff>
    </xdr:to>
    <xdr:sp>
      <xdr:nvSpPr>
        <xdr:cNvPr id="6" name="Line 13"/>
        <xdr:cNvSpPr>
          <a:spLocks/>
        </xdr:cNvSpPr>
      </xdr:nvSpPr>
      <xdr:spPr>
        <a:xfrm flipH="1" flipV="1">
          <a:off x="914400" y="3048000"/>
          <a:ext cx="18097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95250</xdr:rowOff>
    </xdr:from>
    <xdr:to>
      <xdr:col>6</xdr:col>
      <xdr:colOff>133350</xdr:colOff>
      <xdr:row>32</xdr:row>
      <xdr:rowOff>38100</xdr:rowOff>
    </xdr:to>
    <xdr:sp>
      <xdr:nvSpPr>
        <xdr:cNvPr id="7" name="Line 14"/>
        <xdr:cNvSpPr>
          <a:spLocks/>
        </xdr:cNvSpPr>
      </xdr:nvSpPr>
      <xdr:spPr>
        <a:xfrm flipH="1">
          <a:off x="2819400" y="5305425"/>
          <a:ext cx="1600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38100</xdr:rowOff>
    </xdr:from>
    <xdr:to>
      <xdr:col>4</xdr:col>
      <xdr:colOff>57150</xdr:colOff>
      <xdr:row>32</xdr:row>
      <xdr:rowOff>38100</xdr:rowOff>
    </xdr:to>
    <xdr:sp>
      <xdr:nvSpPr>
        <xdr:cNvPr id="8" name="Line 15"/>
        <xdr:cNvSpPr>
          <a:spLocks/>
        </xdr:cNvSpPr>
      </xdr:nvSpPr>
      <xdr:spPr>
        <a:xfrm flipH="1">
          <a:off x="1019175" y="55816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23</xdr:row>
      <xdr:rowOff>152400</xdr:rowOff>
    </xdr:from>
    <xdr:to>
      <xdr:col>1</xdr:col>
      <xdr:colOff>542925</xdr:colOff>
      <xdr:row>32</xdr:row>
      <xdr:rowOff>38100</xdr:rowOff>
    </xdr:to>
    <xdr:sp>
      <xdr:nvSpPr>
        <xdr:cNvPr id="9" name="Line 16"/>
        <xdr:cNvSpPr>
          <a:spLocks/>
        </xdr:cNvSpPr>
      </xdr:nvSpPr>
      <xdr:spPr>
        <a:xfrm flipH="1" flipV="1">
          <a:off x="704850" y="4105275"/>
          <a:ext cx="314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12</xdr:row>
      <xdr:rowOff>19050</xdr:rowOff>
    </xdr:from>
    <xdr:to>
      <xdr:col>1</xdr:col>
      <xdr:colOff>647700</xdr:colOff>
      <xdr:row>13</xdr:row>
      <xdr:rowOff>85725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124075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19</xdr:row>
      <xdr:rowOff>19050</xdr:rowOff>
    </xdr:from>
    <xdr:to>
      <xdr:col>2</xdr:col>
      <xdr:colOff>19050</xdr:colOff>
      <xdr:row>20</xdr:row>
      <xdr:rowOff>57150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32956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</xdr:row>
      <xdr:rowOff>133350</xdr:rowOff>
    </xdr:from>
    <xdr:to>
      <xdr:col>5</xdr:col>
      <xdr:colOff>476250</xdr:colOff>
      <xdr:row>30</xdr:row>
      <xdr:rowOff>85725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047750"/>
          <a:ext cx="33623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7</xdr:row>
      <xdr:rowOff>104775</xdr:rowOff>
    </xdr:from>
    <xdr:to>
      <xdr:col>6</xdr:col>
      <xdr:colOff>304800</xdr:colOff>
      <xdr:row>8</xdr:row>
      <xdr:rowOff>133350</xdr:rowOff>
    </xdr:to>
    <xdr:sp>
      <xdr:nvSpPr>
        <xdr:cNvPr id="13" name="Line 20"/>
        <xdr:cNvSpPr>
          <a:spLocks/>
        </xdr:cNvSpPr>
      </xdr:nvSpPr>
      <xdr:spPr>
        <a:xfrm flipH="1">
          <a:off x="2438400" y="1362075"/>
          <a:ext cx="2152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9</xdr:row>
      <xdr:rowOff>142875</xdr:rowOff>
    </xdr:from>
    <xdr:to>
      <xdr:col>6</xdr:col>
      <xdr:colOff>209550</xdr:colOff>
      <xdr:row>14</xdr:row>
      <xdr:rowOff>28575</xdr:rowOff>
    </xdr:to>
    <xdr:sp>
      <xdr:nvSpPr>
        <xdr:cNvPr id="14" name="Line 21"/>
        <xdr:cNvSpPr>
          <a:spLocks/>
        </xdr:cNvSpPr>
      </xdr:nvSpPr>
      <xdr:spPr>
        <a:xfrm flipH="1">
          <a:off x="2705100" y="1743075"/>
          <a:ext cx="1790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</xdr:row>
      <xdr:rowOff>123825</xdr:rowOff>
    </xdr:from>
    <xdr:to>
      <xdr:col>6</xdr:col>
      <xdr:colOff>171450</xdr:colOff>
      <xdr:row>23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2333625" y="3057525"/>
          <a:ext cx="21240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</xdr:row>
      <xdr:rowOff>123825</xdr:rowOff>
    </xdr:from>
    <xdr:to>
      <xdr:col>6</xdr:col>
      <xdr:colOff>276225</xdr:colOff>
      <xdr:row>25</xdr:row>
      <xdr:rowOff>123825</xdr:rowOff>
    </xdr:to>
    <xdr:sp>
      <xdr:nvSpPr>
        <xdr:cNvPr id="16" name="Line 23"/>
        <xdr:cNvSpPr>
          <a:spLocks/>
        </xdr:cNvSpPr>
      </xdr:nvSpPr>
      <xdr:spPr>
        <a:xfrm flipH="1">
          <a:off x="2266950" y="3400425"/>
          <a:ext cx="22955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21</xdr:row>
      <xdr:rowOff>142875</xdr:rowOff>
    </xdr:from>
    <xdr:to>
      <xdr:col>6</xdr:col>
      <xdr:colOff>161925</xdr:colOff>
      <xdr:row>26</xdr:row>
      <xdr:rowOff>28575</xdr:rowOff>
    </xdr:to>
    <xdr:sp>
      <xdr:nvSpPr>
        <xdr:cNvPr id="17" name="Line 24"/>
        <xdr:cNvSpPr>
          <a:spLocks/>
        </xdr:cNvSpPr>
      </xdr:nvSpPr>
      <xdr:spPr>
        <a:xfrm flipH="1">
          <a:off x="3000375" y="3762375"/>
          <a:ext cx="1447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133350</xdr:rowOff>
    </xdr:from>
    <xdr:to>
      <xdr:col>5</xdr:col>
      <xdr:colOff>666750</xdr:colOff>
      <xdr:row>30</xdr:row>
      <xdr:rowOff>76200</xdr:rowOff>
    </xdr:to>
    <xdr:sp>
      <xdr:nvSpPr>
        <xdr:cNvPr id="18" name="Line 25"/>
        <xdr:cNvSpPr>
          <a:spLocks/>
        </xdr:cNvSpPr>
      </xdr:nvSpPr>
      <xdr:spPr>
        <a:xfrm flipH="1">
          <a:off x="2838450" y="5000625"/>
          <a:ext cx="1352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30</xdr:row>
      <xdr:rowOff>76200</xdr:rowOff>
    </xdr:from>
    <xdr:to>
      <xdr:col>4</xdr:col>
      <xdr:colOff>76200</xdr:colOff>
      <xdr:row>30</xdr:row>
      <xdr:rowOff>85725</xdr:rowOff>
    </xdr:to>
    <xdr:sp>
      <xdr:nvSpPr>
        <xdr:cNvPr id="19" name="Line 26"/>
        <xdr:cNvSpPr>
          <a:spLocks/>
        </xdr:cNvSpPr>
      </xdr:nvSpPr>
      <xdr:spPr>
        <a:xfrm flipH="1">
          <a:off x="1476375" y="5286375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142875</xdr:rowOff>
    </xdr:from>
    <xdr:to>
      <xdr:col>2</xdr:col>
      <xdr:colOff>247650</xdr:colOff>
      <xdr:row>30</xdr:row>
      <xdr:rowOff>57150</xdr:rowOff>
    </xdr:to>
    <xdr:sp>
      <xdr:nvSpPr>
        <xdr:cNvPr id="20" name="Line 27"/>
        <xdr:cNvSpPr>
          <a:spLocks/>
        </xdr:cNvSpPr>
      </xdr:nvSpPr>
      <xdr:spPr>
        <a:xfrm flipH="1" flipV="1">
          <a:off x="1428750" y="2905125"/>
          <a:ext cx="5715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85725</xdr:rowOff>
    </xdr:from>
    <xdr:to>
      <xdr:col>1</xdr:col>
      <xdr:colOff>476250</xdr:colOff>
      <xdr:row>30</xdr:row>
      <xdr:rowOff>76200</xdr:rowOff>
    </xdr:to>
    <xdr:sp>
      <xdr:nvSpPr>
        <xdr:cNvPr id="21" name="Line 28"/>
        <xdr:cNvSpPr>
          <a:spLocks/>
        </xdr:cNvSpPr>
      </xdr:nvSpPr>
      <xdr:spPr>
        <a:xfrm flipH="1" flipV="1">
          <a:off x="809625" y="3705225"/>
          <a:ext cx="1428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</xdr:row>
      <xdr:rowOff>38100</xdr:rowOff>
    </xdr:from>
    <xdr:to>
      <xdr:col>1</xdr:col>
      <xdr:colOff>523875</xdr:colOff>
      <xdr:row>21</xdr:row>
      <xdr:rowOff>66675</xdr:rowOff>
    </xdr:to>
    <xdr:sp>
      <xdr:nvSpPr>
        <xdr:cNvPr id="22" name="Line 29"/>
        <xdr:cNvSpPr>
          <a:spLocks/>
        </xdr:cNvSpPr>
      </xdr:nvSpPr>
      <xdr:spPr>
        <a:xfrm flipV="1">
          <a:off x="819150" y="348615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12</xdr:row>
      <xdr:rowOff>104775</xdr:rowOff>
    </xdr:from>
    <xdr:to>
      <xdr:col>2</xdr:col>
      <xdr:colOff>219075</xdr:colOff>
      <xdr:row>12</xdr:row>
      <xdr:rowOff>161925</xdr:rowOff>
    </xdr:to>
    <xdr:sp>
      <xdr:nvSpPr>
        <xdr:cNvPr id="23" name="Line 30"/>
        <xdr:cNvSpPr>
          <a:spLocks/>
        </xdr:cNvSpPr>
      </xdr:nvSpPr>
      <xdr:spPr>
        <a:xfrm>
          <a:off x="476250" y="2209800"/>
          <a:ext cx="981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104775</xdr:rowOff>
    </xdr:from>
    <xdr:to>
      <xdr:col>1</xdr:col>
      <xdr:colOff>504825</xdr:colOff>
      <xdr:row>18</xdr:row>
      <xdr:rowOff>104775</xdr:rowOff>
    </xdr:to>
    <xdr:sp>
      <xdr:nvSpPr>
        <xdr:cNvPr id="24" name="Line 31"/>
        <xdr:cNvSpPr>
          <a:spLocks/>
        </xdr:cNvSpPr>
      </xdr:nvSpPr>
      <xdr:spPr>
        <a:xfrm>
          <a:off x="485775" y="3209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16</xdr:col>
      <xdr:colOff>714375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61925" y="342900"/>
        <a:ext cx="127444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13</xdr:col>
      <xdr:colOff>904875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14300" y="371475"/>
        <a:ext cx="128206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19050</xdr:rowOff>
    </xdr:from>
    <xdr:to>
      <xdr:col>15</xdr:col>
      <xdr:colOff>400050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42875" y="342900"/>
        <a:ext cx="123729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abSelected="1" workbookViewId="0" topLeftCell="A2">
      <selection activeCell="R40" sqref="R40"/>
    </sheetView>
  </sheetViews>
  <sheetFormatPr defaultColWidth="11.421875" defaultRowHeight="12.75"/>
  <cols>
    <col min="1" max="16384" width="11.421875" style="42" customWidth="1"/>
  </cols>
  <sheetData>
    <row r="3" ht="18">
      <c r="B3" s="44" t="s">
        <v>66</v>
      </c>
    </row>
    <row r="7" spans="1:18" s="47" customFormat="1" ht="24.75" customHeight="1">
      <c r="A7" s="49"/>
      <c r="B7" s="49"/>
      <c r="E7" s="48" t="s">
        <v>67</v>
      </c>
      <c r="H7" s="49"/>
      <c r="K7" s="48" t="s">
        <v>68</v>
      </c>
      <c r="N7" s="49"/>
      <c r="O7" s="49"/>
      <c r="P7" s="49"/>
      <c r="Q7" s="49"/>
      <c r="R7" s="49"/>
    </row>
    <row r="35" spans="3:9" ht="12.75">
      <c r="C35" s="43" t="s">
        <v>71</v>
      </c>
      <c r="I35" s="43" t="s">
        <v>72</v>
      </c>
    </row>
    <row r="36" spans="4:10" ht="12.75">
      <c r="D36" s="43" t="s">
        <v>69</v>
      </c>
      <c r="J36" s="43" t="s">
        <v>73</v>
      </c>
    </row>
    <row r="37" ht="12.75">
      <c r="C37" s="43" t="s">
        <v>106</v>
      </c>
    </row>
  </sheetData>
  <hyperlinks>
    <hyperlink ref="E7" location="FormulaireA!A1" display="Cas A"/>
    <hyperlink ref="K7" location="FormulaireB!B1" display="Cas B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I31"/>
  <sheetViews>
    <sheetView workbookViewId="0" topLeftCell="A1">
      <selection activeCell="B2" sqref="B2"/>
    </sheetView>
  </sheetViews>
  <sheetFormatPr defaultColWidth="11.421875" defaultRowHeight="12.75"/>
  <cols>
    <col min="2" max="2" width="11.57421875" style="0" bestFit="1" customWidth="1"/>
    <col min="4" max="4" width="15.00390625" style="0" bestFit="1" customWidth="1"/>
    <col min="5" max="5" width="15.00390625" style="27" bestFit="1" customWidth="1"/>
    <col min="6" max="6" width="15.00390625" style="0" bestFit="1" customWidth="1"/>
    <col min="7" max="14" width="14.421875" style="0" bestFit="1" customWidth="1"/>
  </cols>
  <sheetData>
    <row r="2" ht="12.75">
      <c r="B2" s="37" t="s">
        <v>61</v>
      </c>
    </row>
    <row r="3" ht="12.75">
      <c r="B3">
        <v>10</v>
      </c>
    </row>
    <row r="4" spans="2:35" s="39" customFormat="1" ht="12.75">
      <c r="B4" s="40">
        <v>13</v>
      </c>
      <c r="C4" s="39" t="s">
        <v>59</v>
      </c>
      <c r="D4" s="39">
        <v>10</v>
      </c>
      <c r="E4" s="39">
        <v>13</v>
      </c>
      <c r="F4" s="39">
        <v>18</v>
      </c>
      <c r="G4" s="39">
        <v>24</v>
      </c>
      <c r="H4" s="41">
        <v>32</v>
      </c>
      <c r="I4" s="41">
        <v>45</v>
      </c>
      <c r="J4" s="41">
        <v>56</v>
      </c>
      <c r="K4" s="41">
        <v>75</v>
      </c>
      <c r="L4" s="41">
        <v>100</v>
      </c>
      <c r="M4" s="41">
        <f aca="true" t="shared" si="0" ref="M4:AE4">E4*10</f>
        <v>130</v>
      </c>
      <c r="N4" s="41">
        <f t="shared" si="0"/>
        <v>180</v>
      </c>
      <c r="O4" s="41">
        <f t="shared" si="0"/>
        <v>240</v>
      </c>
      <c r="P4" s="41">
        <f t="shared" si="0"/>
        <v>320</v>
      </c>
      <c r="Q4" s="41">
        <f t="shared" si="0"/>
        <v>450</v>
      </c>
      <c r="R4" s="41">
        <f t="shared" si="0"/>
        <v>560</v>
      </c>
      <c r="S4" s="41">
        <f t="shared" si="0"/>
        <v>750</v>
      </c>
      <c r="T4" s="41">
        <f t="shared" si="0"/>
        <v>1000</v>
      </c>
      <c r="U4" s="41">
        <f t="shared" si="0"/>
        <v>1300</v>
      </c>
      <c r="V4" s="41">
        <f t="shared" si="0"/>
        <v>1800</v>
      </c>
      <c r="W4" s="41">
        <f t="shared" si="0"/>
        <v>2400</v>
      </c>
      <c r="X4" s="41">
        <f t="shared" si="0"/>
        <v>3200</v>
      </c>
      <c r="Y4" s="41">
        <f t="shared" si="0"/>
        <v>4500</v>
      </c>
      <c r="Z4" s="41">
        <f t="shared" si="0"/>
        <v>5600</v>
      </c>
      <c r="AA4" s="41">
        <f t="shared" si="0"/>
        <v>7500</v>
      </c>
      <c r="AB4" s="41">
        <f t="shared" si="0"/>
        <v>10000</v>
      </c>
      <c r="AC4" s="41">
        <f t="shared" si="0"/>
        <v>13000</v>
      </c>
      <c r="AD4" s="41">
        <f t="shared" si="0"/>
        <v>18000</v>
      </c>
      <c r="AE4" s="41">
        <f t="shared" si="0"/>
        <v>24000</v>
      </c>
      <c r="AF4" s="41"/>
      <c r="AG4" s="41"/>
      <c r="AH4" s="41"/>
      <c r="AI4" s="41"/>
    </row>
    <row r="5" spans="2:31" ht="12.75">
      <c r="B5">
        <v>18</v>
      </c>
      <c r="D5">
        <f aca="true" t="shared" si="1" ref="D5:AE5">D4*2*PI()</f>
        <v>62.83185307179586</v>
      </c>
      <c r="E5">
        <f t="shared" si="1"/>
        <v>81.68140899333463</v>
      </c>
      <c r="F5">
        <f t="shared" si="1"/>
        <v>113.09733552923255</v>
      </c>
      <c r="G5">
        <f t="shared" si="1"/>
        <v>150.79644737231007</v>
      </c>
      <c r="H5">
        <f t="shared" si="1"/>
        <v>201.06192982974676</v>
      </c>
      <c r="I5">
        <f t="shared" si="1"/>
        <v>282.7433388230814</v>
      </c>
      <c r="J5">
        <f t="shared" si="1"/>
        <v>351.85837720205683</v>
      </c>
      <c r="K5">
        <f t="shared" si="1"/>
        <v>471.23889803846896</v>
      </c>
      <c r="L5">
        <f t="shared" si="1"/>
        <v>628.3185307179587</v>
      </c>
      <c r="M5">
        <f t="shared" si="1"/>
        <v>816.8140899333462</v>
      </c>
      <c r="N5">
        <f t="shared" si="1"/>
        <v>1130.9733552923256</v>
      </c>
      <c r="O5">
        <f t="shared" si="1"/>
        <v>1507.9644737231006</v>
      </c>
      <c r="P5">
        <f t="shared" si="1"/>
        <v>2010.6192982974676</v>
      </c>
      <c r="Q5">
        <f t="shared" si="1"/>
        <v>2827.4333882308138</v>
      </c>
      <c r="R5">
        <f t="shared" si="1"/>
        <v>3518.583772020568</v>
      </c>
      <c r="S5">
        <f t="shared" si="1"/>
        <v>4712.38898038469</v>
      </c>
      <c r="T5">
        <f t="shared" si="1"/>
        <v>6283.185307179586</v>
      </c>
      <c r="U5">
        <f t="shared" si="1"/>
        <v>8168.140899333462</v>
      </c>
      <c r="V5">
        <f t="shared" si="1"/>
        <v>11309.733552923255</v>
      </c>
      <c r="W5">
        <f t="shared" si="1"/>
        <v>15079.644737231007</v>
      </c>
      <c r="X5">
        <f t="shared" si="1"/>
        <v>20106.192982974677</v>
      </c>
      <c r="Y5">
        <f t="shared" si="1"/>
        <v>28274.33388230814</v>
      </c>
      <c r="Z5">
        <f t="shared" si="1"/>
        <v>35185.83772020568</v>
      </c>
      <c r="AA5">
        <f t="shared" si="1"/>
        <v>47123.8898038469</v>
      </c>
      <c r="AB5">
        <f t="shared" si="1"/>
        <v>62831.853071795864</v>
      </c>
      <c r="AC5">
        <f t="shared" si="1"/>
        <v>81681.40899333463</v>
      </c>
      <c r="AD5">
        <f t="shared" si="1"/>
        <v>113097.33552923256</v>
      </c>
      <c r="AE5">
        <f t="shared" si="1"/>
        <v>150796.44737231007</v>
      </c>
    </row>
    <row r="6" spans="2:31" ht="12.75">
      <c r="B6">
        <v>24</v>
      </c>
      <c r="D6">
        <f>mub*Rchb</f>
        <v>8947368.421052631</v>
      </c>
      <c r="E6">
        <f aca="true" t="shared" si="2" ref="E6:AE6">mub*Rchb</f>
        <v>8947368.421052631</v>
      </c>
      <c r="F6">
        <f t="shared" si="2"/>
        <v>8947368.421052631</v>
      </c>
      <c r="G6">
        <f t="shared" si="2"/>
        <v>8947368.421052631</v>
      </c>
      <c r="H6">
        <f t="shared" si="2"/>
        <v>8947368.421052631</v>
      </c>
      <c r="I6">
        <f t="shared" si="2"/>
        <v>8947368.421052631</v>
      </c>
      <c r="J6">
        <f t="shared" si="2"/>
        <v>8947368.421052631</v>
      </c>
      <c r="K6">
        <f t="shared" si="2"/>
        <v>8947368.421052631</v>
      </c>
      <c r="L6">
        <f t="shared" si="2"/>
        <v>8947368.421052631</v>
      </c>
      <c r="M6">
        <f t="shared" si="2"/>
        <v>8947368.421052631</v>
      </c>
      <c r="N6">
        <f t="shared" si="2"/>
        <v>8947368.421052631</v>
      </c>
      <c r="O6">
        <f t="shared" si="2"/>
        <v>8947368.421052631</v>
      </c>
      <c r="P6">
        <f t="shared" si="2"/>
        <v>8947368.421052631</v>
      </c>
      <c r="Q6">
        <f t="shared" si="2"/>
        <v>8947368.421052631</v>
      </c>
      <c r="R6">
        <f t="shared" si="2"/>
        <v>8947368.421052631</v>
      </c>
      <c r="S6">
        <f t="shared" si="2"/>
        <v>8947368.421052631</v>
      </c>
      <c r="T6">
        <f t="shared" si="2"/>
        <v>8947368.421052631</v>
      </c>
      <c r="U6">
        <f t="shared" si="2"/>
        <v>8947368.421052631</v>
      </c>
      <c r="V6">
        <f t="shared" si="2"/>
        <v>8947368.421052631</v>
      </c>
      <c r="W6">
        <f t="shared" si="2"/>
        <v>8947368.421052631</v>
      </c>
      <c r="X6">
        <f t="shared" si="2"/>
        <v>8947368.421052631</v>
      </c>
      <c r="Y6">
        <f t="shared" si="2"/>
        <v>8947368.421052631</v>
      </c>
      <c r="Z6">
        <f t="shared" si="2"/>
        <v>8947368.421052631</v>
      </c>
      <c r="AA6">
        <f t="shared" si="2"/>
        <v>8947368.421052631</v>
      </c>
      <c r="AB6">
        <f t="shared" si="2"/>
        <v>8947368.421052631</v>
      </c>
      <c r="AC6">
        <f t="shared" si="2"/>
        <v>8947368.421052631</v>
      </c>
      <c r="AD6">
        <f t="shared" si="2"/>
        <v>8947368.421052631</v>
      </c>
      <c r="AE6">
        <f t="shared" si="2"/>
        <v>8947368.421052631</v>
      </c>
    </row>
    <row r="7" spans="2:31" ht="12.75">
      <c r="B7">
        <v>32</v>
      </c>
      <c r="D7">
        <f aca="true" t="shared" si="3" ref="D7:AE7">D6*D6</f>
        <v>80055401662049.84</v>
      </c>
      <c r="E7">
        <f t="shared" si="3"/>
        <v>80055401662049.84</v>
      </c>
      <c r="F7">
        <f t="shared" si="3"/>
        <v>80055401662049.84</v>
      </c>
      <c r="G7">
        <f t="shared" si="3"/>
        <v>80055401662049.84</v>
      </c>
      <c r="H7">
        <f t="shared" si="3"/>
        <v>80055401662049.84</v>
      </c>
      <c r="I7">
        <f t="shared" si="3"/>
        <v>80055401662049.84</v>
      </c>
      <c r="J7">
        <f t="shared" si="3"/>
        <v>80055401662049.84</v>
      </c>
      <c r="K7">
        <f t="shared" si="3"/>
        <v>80055401662049.84</v>
      </c>
      <c r="L7">
        <f t="shared" si="3"/>
        <v>80055401662049.84</v>
      </c>
      <c r="M7">
        <f t="shared" si="3"/>
        <v>80055401662049.84</v>
      </c>
      <c r="N7">
        <f t="shared" si="3"/>
        <v>80055401662049.84</v>
      </c>
      <c r="O7">
        <f t="shared" si="3"/>
        <v>80055401662049.84</v>
      </c>
      <c r="P7">
        <f t="shared" si="3"/>
        <v>80055401662049.84</v>
      </c>
      <c r="Q7">
        <f t="shared" si="3"/>
        <v>80055401662049.84</v>
      </c>
      <c r="R7">
        <f t="shared" si="3"/>
        <v>80055401662049.84</v>
      </c>
      <c r="S7">
        <f t="shared" si="3"/>
        <v>80055401662049.84</v>
      </c>
      <c r="T7">
        <f t="shared" si="3"/>
        <v>80055401662049.84</v>
      </c>
      <c r="U7">
        <f t="shared" si="3"/>
        <v>80055401662049.84</v>
      </c>
      <c r="V7">
        <f t="shared" si="3"/>
        <v>80055401662049.84</v>
      </c>
      <c r="W7">
        <f t="shared" si="3"/>
        <v>80055401662049.84</v>
      </c>
      <c r="X7">
        <f t="shared" si="3"/>
        <v>80055401662049.84</v>
      </c>
      <c r="Y7">
        <f t="shared" si="3"/>
        <v>80055401662049.84</v>
      </c>
      <c r="Z7">
        <f t="shared" si="3"/>
        <v>80055401662049.84</v>
      </c>
      <c r="AA7">
        <f t="shared" si="3"/>
        <v>80055401662049.84</v>
      </c>
      <c r="AB7">
        <f t="shared" si="3"/>
        <v>80055401662049.84</v>
      </c>
      <c r="AC7">
        <f t="shared" si="3"/>
        <v>80055401662049.84</v>
      </c>
      <c r="AD7">
        <f t="shared" si="3"/>
        <v>80055401662049.84</v>
      </c>
      <c r="AE7">
        <f t="shared" si="3"/>
        <v>80055401662049.84</v>
      </c>
    </row>
    <row r="8" spans="2:31" ht="12.75">
      <c r="B8">
        <v>45</v>
      </c>
      <c r="D8">
        <f>D5*D5*D7*Rkd*Rkd*Ckb*Ckb/1000000000000</f>
        <v>157082791892.90475</v>
      </c>
      <c r="E8">
        <f aca="true" t="shared" si="4" ref="E8:AE8">E5*E5*E7*Rkd*Rkd*Ckb*Ckb/1000000000000</f>
        <v>265469918299.00906</v>
      </c>
      <c r="F8">
        <f t="shared" si="4"/>
        <v>508948245733.01135</v>
      </c>
      <c r="G8">
        <f t="shared" si="4"/>
        <v>904796881303.1311</v>
      </c>
      <c r="H8">
        <f t="shared" si="4"/>
        <v>1608527788983.3447</v>
      </c>
      <c r="I8">
        <f t="shared" si="4"/>
        <v>3180926535831.321</v>
      </c>
      <c r="J8">
        <f t="shared" si="4"/>
        <v>4926116353761.493</v>
      </c>
      <c r="K8">
        <f t="shared" si="4"/>
        <v>8835907043975.889</v>
      </c>
      <c r="L8">
        <f t="shared" si="4"/>
        <v>15708279189290.477</v>
      </c>
      <c r="M8">
        <f t="shared" si="4"/>
        <v>26546991829900.902</v>
      </c>
      <c r="N8">
        <f t="shared" si="4"/>
        <v>50894824573301.13</v>
      </c>
      <c r="O8">
        <f t="shared" si="4"/>
        <v>90479688130313.12</v>
      </c>
      <c r="P8">
        <f t="shared" si="4"/>
        <v>160852778898334.47</v>
      </c>
      <c r="Q8">
        <f t="shared" si="4"/>
        <v>318092653583132.1</v>
      </c>
      <c r="R8">
        <f t="shared" si="4"/>
        <v>492611635376149.1</v>
      </c>
      <c r="S8">
        <f t="shared" si="4"/>
        <v>883590704397589</v>
      </c>
      <c r="T8">
        <f t="shared" si="4"/>
        <v>1570827918929047</v>
      </c>
      <c r="U8">
        <f t="shared" si="4"/>
        <v>2654699182990089.5</v>
      </c>
      <c r="V8">
        <f t="shared" si="4"/>
        <v>5089482457330114</v>
      </c>
      <c r="W8">
        <f t="shared" si="4"/>
        <v>9047968813031310</v>
      </c>
      <c r="X8">
        <f t="shared" si="4"/>
        <v>16085277889833448</v>
      </c>
      <c r="Y8">
        <f t="shared" si="4"/>
        <v>31809265358313212</v>
      </c>
      <c r="Z8">
        <f t="shared" si="4"/>
        <v>49261163537614904</v>
      </c>
      <c r="AA8">
        <f t="shared" si="4"/>
        <v>88359070439758900</v>
      </c>
      <c r="AB8">
        <f t="shared" si="4"/>
        <v>1.5708279189290474E+17</v>
      </c>
      <c r="AC8">
        <f t="shared" si="4"/>
        <v>2.6546991829900902E+17</v>
      </c>
      <c r="AD8">
        <f t="shared" si="4"/>
        <v>5.089482457330114E+17</v>
      </c>
      <c r="AE8">
        <f t="shared" si="4"/>
        <v>9.047968813031311E+17</v>
      </c>
    </row>
    <row r="9" spans="2:31" ht="12.75">
      <c r="B9">
        <v>56</v>
      </c>
      <c r="D9">
        <f aca="true" t="shared" si="5" ref="D9:AE9">SQRT(D8+D7)</f>
        <v>8956142.27521776</v>
      </c>
      <c r="E9">
        <f t="shared" si="5"/>
        <v>8962191.226499736</v>
      </c>
      <c r="F9">
        <f t="shared" si="5"/>
        <v>8975764.58625018</v>
      </c>
      <c r="G9">
        <f t="shared" si="5"/>
        <v>8997788.536265617</v>
      </c>
      <c r="H9">
        <f t="shared" si="5"/>
        <v>9036809.694302144</v>
      </c>
      <c r="I9">
        <f t="shared" si="5"/>
        <v>9123394.554543894</v>
      </c>
      <c r="J9">
        <f t="shared" si="5"/>
        <v>9218542.076478869</v>
      </c>
      <c r="K9">
        <f t="shared" si="5"/>
        <v>9428218.745130267</v>
      </c>
      <c r="L9">
        <f t="shared" si="5"/>
        <v>9785891.929269416</v>
      </c>
      <c r="M9">
        <f t="shared" si="5"/>
        <v>10324843.509320166</v>
      </c>
      <c r="N9">
        <f t="shared" si="5"/>
        <v>11443348.55867595</v>
      </c>
      <c r="O9">
        <f t="shared" si="5"/>
        <v>13058908.445668917</v>
      </c>
      <c r="P9">
        <f t="shared" si="5"/>
        <v>15521217.109504793</v>
      </c>
      <c r="Q9">
        <f t="shared" si="5"/>
        <v>19953647.66766172</v>
      </c>
      <c r="R9">
        <f t="shared" si="5"/>
        <v>23930462.53289307</v>
      </c>
      <c r="S9">
        <f t="shared" si="5"/>
        <v>31042649.791208852</v>
      </c>
      <c r="T9">
        <f t="shared" si="5"/>
        <v>40631063.49323257</v>
      </c>
      <c r="U9">
        <f t="shared" si="5"/>
        <v>52294881.055913486</v>
      </c>
      <c r="V9">
        <f t="shared" si="5"/>
        <v>71899498.32225649</v>
      </c>
      <c r="W9">
        <f t="shared" si="5"/>
        <v>95540694.02455354</v>
      </c>
      <c r="X9">
        <f t="shared" si="5"/>
        <v>127142963.98737721</v>
      </c>
      <c r="Y9">
        <f t="shared" si="5"/>
        <v>178575812.35983574</v>
      </c>
      <c r="Z9">
        <f t="shared" si="5"/>
        <v>222128834.10146677</v>
      </c>
      <c r="AA9">
        <f t="shared" si="5"/>
        <v>297387164.8901831</v>
      </c>
      <c r="AB9">
        <f t="shared" si="5"/>
        <v>396437696.6114181</v>
      </c>
      <c r="AC9">
        <f t="shared" si="5"/>
        <v>515315411.8602228</v>
      </c>
      <c r="AD9">
        <f t="shared" si="5"/>
        <v>713462193.2062508</v>
      </c>
      <c r="AE9">
        <f t="shared" si="5"/>
        <v>951250196.6910667</v>
      </c>
    </row>
    <row r="10" spans="2:5" ht="12.75">
      <c r="B10">
        <v>75</v>
      </c>
      <c r="E10"/>
    </row>
    <row r="11" spans="2:31" ht="12.75">
      <c r="B11">
        <v>100</v>
      </c>
      <c r="D11">
        <f>(Rchb+rakb)*D5*Rkd*Ckb/1000000</f>
        <v>6731.895678952179</v>
      </c>
      <c r="E11">
        <f aca="true" t="shared" si="6" ref="E11:AE11">(Rchb+rakb)*E5*Rkd*Ckb/1000000</f>
        <v>8751.464382637834</v>
      </c>
      <c r="F11">
        <f t="shared" si="6"/>
        <v>12117.412222113922</v>
      </c>
      <c r="G11">
        <f t="shared" si="6"/>
        <v>16156.54962948523</v>
      </c>
      <c r="H11">
        <f t="shared" si="6"/>
        <v>21542.066172646977</v>
      </c>
      <c r="I11">
        <f t="shared" si="6"/>
        <v>30293.53055528481</v>
      </c>
      <c r="J11">
        <f t="shared" si="6"/>
        <v>37698.615802132204</v>
      </c>
      <c r="K11">
        <f t="shared" si="6"/>
        <v>50489.21759214135</v>
      </c>
      <c r="L11">
        <f t="shared" si="6"/>
        <v>67318.9567895218</v>
      </c>
      <c r="M11">
        <f t="shared" si="6"/>
        <v>87514.64382637832</v>
      </c>
      <c r="N11">
        <f t="shared" si="6"/>
        <v>121174.12222113925</v>
      </c>
      <c r="O11">
        <f t="shared" si="6"/>
        <v>161565.4962948523</v>
      </c>
      <c r="P11">
        <f t="shared" si="6"/>
        <v>215420.66172646973</v>
      </c>
      <c r="Q11">
        <f t="shared" si="6"/>
        <v>302935.3055528481</v>
      </c>
      <c r="R11">
        <f t="shared" si="6"/>
        <v>376986.15802132204</v>
      </c>
      <c r="S11">
        <f t="shared" si="6"/>
        <v>504892.17592141347</v>
      </c>
      <c r="T11">
        <f t="shared" si="6"/>
        <v>673189.5678952179</v>
      </c>
      <c r="U11">
        <f t="shared" si="6"/>
        <v>875146.4382637833</v>
      </c>
      <c r="V11">
        <f t="shared" si="6"/>
        <v>1211741.2222113924</v>
      </c>
      <c r="W11">
        <f t="shared" si="6"/>
        <v>1615654.9629485232</v>
      </c>
      <c r="X11">
        <f t="shared" si="6"/>
        <v>2154206.617264698</v>
      </c>
      <c r="Y11">
        <f t="shared" si="6"/>
        <v>3029353.055528481</v>
      </c>
      <c r="Z11">
        <f t="shared" si="6"/>
        <v>3769861.5802132203</v>
      </c>
      <c r="AA11">
        <f t="shared" si="6"/>
        <v>5048921.759214135</v>
      </c>
      <c r="AB11">
        <f t="shared" si="6"/>
        <v>6731895.678952181</v>
      </c>
      <c r="AC11">
        <f t="shared" si="6"/>
        <v>8751464.382637832</v>
      </c>
      <c r="AD11">
        <f t="shared" si="6"/>
        <v>12117412.222113924</v>
      </c>
      <c r="AE11">
        <f t="shared" si="6"/>
        <v>16156549.62948523</v>
      </c>
    </row>
    <row r="12" spans="4:31" ht="12.75">
      <c r="D12">
        <f aca="true" t="shared" si="7" ref="D12:AE12">D11*D11</f>
        <v>45318419.43229502</v>
      </c>
      <c r="E12">
        <f t="shared" si="7"/>
        <v>76588128.84057862</v>
      </c>
      <c r="F12">
        <f t="shared" si="7"/>
        <v>146831678.96063587</v>
      </c>
      <c r="G12">
        <f t="shared" si="7"/>
        <v>261034095.9300193</v>
      </c>
      <c r="H12">
        <f t="shared" si="7"/>
        <v>464060614.9867012</v>
      </c>
      <c r="I12">
        <f t="shared" si="7"/>
        <v>917697993.5039744</v>
      </c>
      <c r="J12">
        <f t="shared" si="7"/>
        <v>1421185633.396772</v>
      </c>
      <c r="K12">
        <f t="shared" si="7"/>
        <v>2549161093.0665956</v>
      </c>
      <c r="L12">
        <f t="shared" si="7"/>
        <v>4531841943.229504</v>
      </c>
      <c r="M12">
        <f t="shared" si="7"/>
        <v>7658812884.0578575</v>
      </c>
      <c r="N12">
        <f t="shared" si="7"/>
        <v>14683167896.063591</v>
      </c>
      <c r="O12">
        <f t="shared" si="7"/>
        <v>26103409593.00193</v>
      </c>
      <c r="P12">
        <f t="shared" si="7"/>
        <v>46406061498.6701</v>
      </c>
      <c r="Q12">
        <f t="shared" si="7"/>
        <v>91769799350.39743</v>
      </c>
      <c r="R12">
        <f t="shared" si="7"/>
        <v>142118563339.6772</v>
      </c>
      <c r="S12">
        <f t="shared" si="7"/>
        <v>254916109306.65952</v>
      </c>
      <c r="T12">
        <f t="shared" si="7"/>
        <v>453184194322.9502</v>
      </c>
      <c r="U12">
        <f t="shared" si="7"/>
        <v>765881288405.786</v>
      </c>
      <c r="V12">
        <f t="shared" si="7"/>
        <v>1468316789606.359</v>
      </c>
      <c r="W12">
        <f t="shared" si="7"/>
        <v>2610340959300.194</v>
      </c>
      <c r="X12">
        <f t="shared" si="7"/>
        <v>4640606149867.012</v>
      </c>
      <c r="Y12">
        <f t="shared" si="7"/>
        <v>9176979935039.744</v>
      </c>
      <c r="Z12">
        <f t="shared" si="7"/>
        <v>14211856333967.719</v>
      </c>
      <c r="AA12">
        <f t="shared" si="7"/>
        <v>25491610930665.953</v>
      </c>
      <c r="AB12">
        <f t="shared" si="7"/>
        <v>45318419432295.05</v>
      </c>
      <c r="AC12">
        <f t="shared" si="7"/>
        <v>76588128840578.58</v>
      </c>
      <c r="AD12">
        <f t="shared" si="7"/>
        <v>146831678960635.9</v>
      </c>
      <c r="AE12">
        <f t="shared" si="7"/>
        <v>261034095930019.34</v>
      </c>
    </row>
    <row r="13" ht="12.75">
      <c r="E13"/>
    </row>
    <row r="14" ht="12.75">
      <c r="E14"/>
    </row>
    <row r="15" spans="4:31" ht="12.75">
      <c r="D15">
        <f>Rchb+rakb+(mub+1)*Rknd</f>
        <v>199443.6842105263</v>
      </c>
      <c r="E15">
        <f aca="true" t="shared" si="8" ref="E15:AE15">Rchb+rakb+(mub+1)*Rknd</f>
        <v>199443.6842105263</v>
      </c>
      <c r="F15">
        <f t="shared" si="8"/>
        <v>199443.6842105263</v>
      </c>
      <c r="G15">
        <f t="shared" si="8"/>
        <v>199443.6842105263</v>
      </c>
      <c r="H15">
        <f t="shared" si="8"/>
        <v>199443.6842105263</v>
      </c>
      <c r="I15">
        <f t="shared" si="8"/>
        <v>199443.6842105263</v>
      </c>
      <c r="J15">
        <f t="shared" si="8"/>
        <v>199443.6842105263</v>
      </c>
      <c r="K15">
        <f t="shared" si="8"/>
        <v>199443.6842105263</v>
      </c>
      <c r="L15">
        <f t="shared" si="8"/>
        <v>199443.6842105263</v>
      </c>
      <c r="M15">
        <f t="shared" si="8"/>
        <v>199443.6842105263</v>
      </c>
      <c r="N15">
        <f t="shared" si="8"/>
        <v>199443.6842105263</v>
      </c>
      <c r="O15">
        <f t="shared" si="8"/>
        <v>199443.6842105263</v>
      </c>
      <c r="P15">
        <f t="shared" si="8"/>
        <v>199443.6842105263</v>
      </c>
      <c r="Q15">
        <f t="shared" si="8"/>
        <v>199443.6842105263</v>
      </c>
      <c r="R15">
        <f t="shared" si="8"/>
        <v>199443.6842105263</v>
      </c>
      <c r="S15">
        <f t="shared" si="8"/>
        <v>199443.6842105263</v>
      </c>
      <c r="T15">
        <f t="shared" si="8"/>
        <v>199443.6842105263</v>
      </c>
      <c r="U15">
        <f t="shared" si="8"/>
        <v>199443.6842105263</v>
      </c>
      <c r="V15">
        <f t="shared" si="8"/>
        <v>199443.6842105263</v>
      </c>
      <c r="W15">
        <f t="shared" si="8"/>
        <v>199443.6842105263</v>
      </c>
      <c r="X15">
        <f t="shared" si="8"/>
        <v>199443.6842105263</v>
      </c>
      <c r="Y15">
        <f t="shared" si="8"/>
        <v>199443.6842105263</v>
      </c>
      <c r="Z15">
        <f t="shared" si="8"/>
        <v>199443.6842105263</v>
      </c>
      <c r="AA15">
        <f t="shared" si="8"/>
        <v>199443.6842105263</v>
      </c>
      <c r="AB15">
        <f t="shared" si="8"/>
        <v>199443.6842105263</v>
      </c>
      <c r="AC15">
        <f t="shared" si="8"/>
        <v>199443.6842105263</v>
      </c>
      <c r="AD15">
        <f t="shared" si="8"/>
        <v>199443.6842105263</v>
      </c>
      <c r="AE15">
        <f t="shared" si="8"/>
        <v>199443.6842105263</v>
      </c>
    </row>
    <row r="16" spans="4:31" ht="12.75">
      <c r="D16">
        <f aca="true" t="shared" si="9" ref="D16:AE16">D15*D15</f>
        <v>39777783171.46813</v>
      </c>
      <c r="E16">
        <f t="shared" si="9"/>
        <v>39777783171.46813</v>
      </c>
      <c r="F16">
        <f t="shared" si="9"/>
        <v>39777783171.46813</v>
      </c>
      <c r="G16">
        <f t="shared" si="9"/>
        <v>39777783171.46813</v>
      </c>
      <c r="H16">
        <f t="shared" si="9"/>
        <v>39777783171.46813</v>
      </c>
      <c r="I16">
        <f t="shared" si="9"/>
        <v>39777783171.46813</v>
      </c>
      <c r="J16">
        <f t="shared" si="9"/>
        <v>39777783171.46813</v>
      </c>
      <c r="K16">
        <f t="shared" si="9"/>
        <v>39777783171.46813</v>
      </c>
      <c r="L16">
        <f t="shared" si="9"/>
        <v>39777783171.46813</v>
      </c>
      <c r="M16">
        <f t="shared" si="9"/>
        <v>39777783171.46813</v>
      </c>
      <c r="N16">
        <f t="shared" si="9"/>
        <v>39777783171.46813</v>
      </c>
      <c r="O16">
        <f t="shared" si="9"/>
        <v>39777783171.46813</v>
      </c>
      <c r="P16">
        <f t="shared" si="9"/>
        <v>39777783171.46813</v>
      </c>
      <c r="Q16">
        <f t="shared" si="9"/>
        <v>39777783171.46813</v>
      </c>
      <c r="R16">
        <f t="shared" si="9"/>
        <v>39777783171.46813</v>
      </c>
      <c r="S16">
        <f t="shared" si="9"/>
        <v>39777783171.46813</v>
      </c>
      <c r="T16">
        <f t="shared" si="9"/>
        <v>39777783171.46813</v>
      </c>
      <c r="U16">
        <f t="shared" si="9"/>
        <v>39777783171.46813</v>
      </c>
      <c r="V16">
        <f t="shared" si="9"/>
        <v>39777783171.46813</v>
      </c>
      <c r="W16">
        <f t="shared" si="9"/>
        <v>39777783171.46813</v>
      </c>
      <c r="X16">
        <f t="shared" si="9"/>
        <v>39777783171.46813</v>
      </c>
      <c r="Y16">
        <f t="shared" si="9"/>
        <v>39777783171.46813</v>
      </c>
      <c r="Z16">
        <f t="shared" si="9"/>
        <v>39777783171.46813</v>
      </c>
      <c r="AA16">
        <f t="shared" si="9"/>
        <v>39777783171.46813</v>
      </c>
      <c r="AB16">
        <f t="shared" si="9"/>
        <v>39777783171.46813</v>
      </c>
      <c r="AC16">
        <f t="shared" si="9"/>
        <v>39777783171.46813</v>
      </c>
      <c r="AD16">
        <f t="shared" si="9"/>
        <v>39777783171.46813</v>
      </c>
      <c r="AE16">
        <f t="shared" si="9"/>
        <v>39777783171.46813</v>
      </c>
    </row>
    <row r="17" spans="4:31" ht="12.75">
      <c r="D17">
        <f aca="true" t="shared" si="10" ref="D17:AE17">SQRT(D12+D16)</f>
        <v>199557.26393920224</v>
      </c>
      <c r="E17">
        <f t="shared" si="10"/>
        <v>199635.59627558585</v>
      </c>
      <c r="F17">
        <f t="shared" si="10"/>
        <v>199811.4482466627</v>
      </c>
      <c r="G17">
        <f t="shared" si="10"/>
        <v>200097.0196364707</v>
      </c>
      <c r="H17">
        <f t="shared" si="10"/>
        <v>200603.69833693205</v>
      </c>
      <c r="I17">
        <f t="shared" si="10"/>
        <v>201731.21019062</v>
      </c>
      <c r="J17">
        <f t="shared" si="10"/>
        <v>202975.29111905445</v>
      </c>
      <c r="K17">
        <f t="shared" si="10"/>
        <v>205735.13133282494</v>
      </c>
      <c r="L17">
        <f t="shared" si="10"/>
        <v>210498.5157066378</v>
      </c>
      <c r="M17">
        <f t="shared" si="10"/>
        <v>217799.43997982636</v>
      </c>
      <c r="N17">
        <f t="shared" si="10"/>
        <v>233368.70198793095</v>
      </c>
      <c r="O17">
        <f t="shared" si="10"/>
        <v>256673.319151933</v>
      </c>
      <c r="P17">
        <f t="shared" si="10"/>
        <v>293570.85119292454</v>
      </c>
      <c r="Q17">
        <f t="shared" si="10"/>
        <v>362694.889020876</v>
      </c>
      <c r="R17">
        <f t="shared" si="10"/>
        <v>426493.0790893861</v>
      </c>
      <c r="S17">
        <f t="shared" si="10"/>
        <v>542857.1566057941</v>
      </c>
      <c r="T17">
        <f t="shared" si="10"/>
        <v>702112.5105668025</v>
      </c>
      <c r="U17">
        <f t="shared" si="10"/>
        <v>897585.1333312368</v>
      </c>
      <c r="V17">
        <f t="shared" si="10"/>
        <v>1228045.0206640745</v>
      </c>
      <c r="W17">
        <f t="shared" si="10"/>
        <v>1627918.5306616735</v>
      </c>
      <c r="X17">
        <f t="shared" si="10"/>
        <v>2163419.5000134576</v>
      </c>
      <c r="Y17">
        <f t="shared" si="10"/>
        <v>3035911.348872232</v>
      </c>
      <c r="Z17">
        <f t="shared" si="10"/>
        <v>3775133.655533164</v>
      </c>
      <c r="AA17">
        <f t="shared" si="10"/>
        <v>5052859.459141667</v>
      </c>
      <c r="AB17">
        <f t="shared" si="10"/>
        <v>6734849.457520674</v>
      </c>
      <c r="AC17">
        <f t="shared" si="10"/>
        <v>8753736.723465588</v>
      </c>
      <c r="AD17">
        <f t="shared" si="10"/>
        <v>12119053.459070448</v>
      </c>
      <c r="AE17">
        <f t="shared" si="10"/>
        <v>16157780.59367037</v>
      </c>
    </row>
    <row r="18" ht="12.75">
      <c r="E18"/>
    </row>
    <row r="19" spans="4:31" ht="12.75">
      <c r="D19">
        <f>1+D9/D17</f>
        <v>45.88006148423827</v>
      </c>
      <c r="E19">
        <f aca="true" t="shared" si="11" ref="E19:AE19">1+E9/E17</f>
        <v>45.89275156184035</v>
      </c>
      <c r="F19">
        <f t="shared" si="11"/>
        <v>45.92117276068087</v>
      </c>
      <c r="G19">
        <f t="shared" si="11"/>
        <v>45.967129208683296</v>
      </c>
      <c r="H19">
        <f t="shared" si="11"/>
        <v>46.04807124305358</v>
      </c>
      <c r="I19">
        <f t="shared" si="11"/>
        <v>46.225498552866505</v>
      </c>
      <c r="J19">
        <f t="shared" si="11"/>
        <v>46.41706542532689</v>
      </c>
      <c r="K19">
        <f t="shared" si="11"/>
        <v>46.826975121122636</v>
      </c>
      <c r="L19">
        <f t="shared" si="11"/>
        <v>47.489125571353526</v>
      </c>
      <c r="M19">
        <f t="shared" si="11"/>
        <v>48.40528033624192</v>
      </c>
      <c r="N19">
        <f t="shared" si="11"/>
        <v>50.03548959734867</v>
      </c>
      <c r="O19">
        <f t="shared" si="11"/>
        <v>51.87754539044605</v>
      </c>
      <c r="P19">
        <f t="shared" si="11"/>
        <v>53.87042990281344</v>
      </c>
      <c r="Q19">
        <f t="shared" si="11"/>
        <v>56.01496787431495</v>
      </c>
      <c r="R19">
        <f t="shared" si="11"/>
        <v>57.10984962285315</v>
      </c>
      <c r="S19">
        <f t="shared" si="11"/>
        <v>58.18382711448908</v>
      </c>
      <c r="T19">
        <f t="shared" si="11"/>
        <v>58.869732958371394</v>
      </c>
      <c r="U19">
        <f t="shared" si="11"/>
        <v>59.261750461295854</v>
      </c>
      <c r="V19">
        <f t="shared" si="11"/>
        <v>59.547933595607354</v>
      </c>
      <c r="W19">
        <f t="shared" si="11"/>
        <v>59.68886693348264</v>
      </c>
      <c r="X19">
        <f t="shared" si="11"/>
        <v>59.76944530942164</v>
      </c>
      <c r="Y19">
        <f t="shared" si="11"/>
        <v>59.821155112507604</v>
      </c>
      <c r="Z19">
        <f t="shared" si="11"/>
        <v>59.839992002904445</v>
      </c>
      <c r="AA19">
        <f t="shared" si="11"/>
        <v>59.85522193817369</v>
      </c>
      <c r="AB19">
        <f t="shared" si="11"/>
        <v>59.86363149048921</v>
      </c>
      <c r="AC19">
        <f t="shared" si="11"/>
        <v>59.86805008412572</v>
      </c>
      <c r="AD19">
        <f t="shared" si="11"/>
        <v>59.87111527445763</v>
      </c>
      <c r="AE19">
        <f t="shared" si="11"/>
        <v>59.872577899944275</v>
      </c>
    </row>
    <row r="20" spans="4:31" ht="12.75">
      <c r="D20">
        <f>Cg_ab*0.000000000001*D19+Cg_kb*0.000000000001</f>
        <v>7.959610452320505E-11</v>
      </c>
      <c r="E20">
        <f aca="true" t="shared" si="12" ref="E20:AE20">Cg_ab*0.000000000001*E19+Cg_kb*0.000000000001</f>
        <v>7.961767765512859E-11</v>
      </c>
      <c r="F20">
        <f t="shared" si="12"/>
        <v>7.966599369315746E-11</v>
      </c>
      <c r="G20">
        <f t="shared" si="12"/>
        <v>7.974411965476159E-11</v>
      </c>
      <c r="H20">
        <f t="shared" si="12"/>
        <v>7.988172111319108E-11</v>
      </c>
      <c r="I20">
        <f t="shared" si="12"/>
        <v>8.018334753987305E-11</v>
      </c>
      <c r="J20">
        <f t="shared" si="12"/>
        <v>8.050901122305571E-11</v>
      </c>
      <c r="K20">
        <f t="shared" si="12"/>
        <v>8.120585770590847E-11</v>
      </c>
      <c r="L20">
        <f t="shared" si="12"/>
        <v>8.233151347130098E-11</v>
      </c>
      <c r="M20">
        <f t="shared" si="12"/>
        <v>8.388897657161126E-11</v>
      </c>
      <c r="N20">
        <f t="shared" si="12"/>
        <v>8.666033231549273E-11</v>
      </c>
      <c r="O20">
        <f t="shared" si="12"/>
        <v>8.979182716375827E-11</v>
      </c>
      <c r="P20">
        <f t="shared" si="12"/>
        <v>9.317973083478284E-11</v>
      </c>
      <c r="Q20">
        <f t="shared" si="12"/>
        <v>9.682544538633541E-11</v>
      </c>
      <c r="R20">
        <f t="shared" si="12"/>
        <v>9.868674435885034E-11</v>
      </c>
      <c r="S20">
        <f t="shared" si="12"/>
        <v>1.0051250609463142E-10</v>
      </c>
      <c r="T20">
        <f t="shared" si="12"/>
        <v>1.0167854602923135E-10</v>
      </c>
      <c r="U20">
        <f t="shared" si="12"/>
        <v>1.0234497578420295E-10</v>
      </c>
      <c r="V20">
        <f t="shared" si="12"/>
        <v>1.0283148711253249E-10</v>
      </c>
      <c r="W20">
        <f t="shared" si="12"/>
        <v>1.0307107378692048E-10</v>
      </c>
      <c r="X20">
        <f t="shared" si="12"/>
        <v>1.0320805702601678E-10</v>
      </c>
      <c r="Y20">
        <f t="shared" si="12"/>
        <v>1.0329596369126292E-10</v>
      </c>
      <c r="Z20">
        <f t="shared" si="12"/>
        <v>1.0332798640493755E-10</v>
      </c>
      <c r="AA20">
        <f t="shared" si="12"/>
        <v>1.0335387729489527E-10</v>
      </c>
      <c r="AB20">
        <f t="shared" si="12"/>
        <v>1.0336817353383164E-10</v>
      </c>
      <c r="AC20">
        <f t="shared" si="12"/>
        <v>1.0337568514301372E-10</v>
      </c>
      <c r="AD20">
        <f t="shared" si="12"/>
        <v>1.0338089596657796E-10</v>
      </c>
      <c r="AE20">
        <f t="shared" si="12"/>
        <v>1.0338338242990525E-10</v>
      </c>
    </row>
    <row r="21" spans="4:31" ht="12.75">
      <c r="D21">
        <f aca="true" t="shared" si="13" ref="D21:AE21">D5*D20</f>
        <v>5.0011707444893255E-09</v>
      </c>
      <c r="E21">
        <f t="shared" si="13"/>
        <v>6.5032840916480376E-09</v>
      </c>
      <c r="F21">
        <f t="shared" si="13"/>
        <v>9.010011618984754E-09</v>
      </c>
      <c r="G21">
        <f t="shared" si="13"/>
        <v>1.2025129942770454E-08</v>
      </c>
      <c r="H21">
        <f t="shared" si="13"/>
        <v>1.6061173005139825E-08</v>
      </c>
      <c r="I21">
        <f t="shared" si="13"/>
        <v>2.2671307401435215E-08</v>
      </c>
      <c r="J21">
        <f t="shared" si="13"/>
        <v>2.832777003908656E-08</v>
      </c>
      <c r="K21">
        <f t="shared" si="13"/>
        <v>3.826735889960102E-08</v>
      </c>
      <c r="L21">
        <f t="shared" si="13"/>
        <v>5.173041557607365E-08</v>
      </c>
      <c r="M21">
        <f t="shared" si="13"/>
        <v>6.852169805378045E-08</v>
      </c>
      <c r="N21">
        <f t="shared" si="13"/>
        <v>9.801052680960077E-08</v>
      </c>
      <c r="O21">
        <f t="shared" si="13"/>
        <v>1.3540288539363235E-07</v>
      </c>
      <c r="P21">
        <f t="shared" si="13"/>
        <v>1.8734896502657796E-07</v>
      </c>
      <c r="Q21">
        <f t="shared" si="13"/>
        <v>2.7376749711564395E-07</v>
      </c>
      <c r="R21">
        <f t="shared" si="13"/>
        <v>3.472375772145932E-07</v>
      </c>
      <c r="S21">
        <f t="shared" si="13"/>
        <v>4.7365402611119007E-07</v>
      </c>
      <c r="T21">
        <f t="shared" si="13"/>
        <v>6.388651464662496E-07</v>
      </c>
      <c r="U21">
        <f t="shared" si="13"/>
        <v>8.359681825442408E-07</v>
      </c>
      <c r="V21">
        <f t="shared" si="13"/>
        <v>1.162996720093604E-06</v>
      </c>
      <c r="W21">
        <f t="shared" si="13"/>
        <v>1.5542751753916843E-06</v>
      </c>
      <c r="X21">
        <f t="shared" si="13"/>
        <v>2.075121111962949E-06</v>
      </c>
      <c r="Y21">
        <f t="shared" si="13"/>
        <v>2.9206245661015465E-06</v>
      </c>
      <c r="Z21">
        <f t="shared" si="13"/>
        <v>3.6356817615997514E-06</v>
      </c>
      <c r="AA21">
        <f t="shared" si="13"/>
        <v>4.870436724444959E-06</v>
      </c>
      <c r="AB21">
        <f t="shared" si="13"/>
        <v>6.494813891777608E-06</v>
      </c>
      <c r="AC21">
        <f t="shared" si="13"/>
        <v>8.44387161813269E-06</v>
      </c>
      <c r="AD21">
        <f t="shared" si="13"/>
        <v>1.1692103878444752E-05</v>
      </c>
      <c r="AE21">
        <f t="shared" si="13"/>
        <v>1.5589846787762613E-05</v>
      </c>
    </row>
    <row r="22" spans="4:31" ht="12.75">
      <c r="D22">
        <f aca="true" t="shared" si="14" ref="D22:AE22">D21*D21</f>
        <v>2.5011708815535913E-17</v>
      </c>
      <c r="E22">
        <f t="shared" si="14"/>
        <v>4.229270397668244E-17</v>
      </c>
      <c r="F22">
        <f t="shared" si="14"/>
        <v>8.118030937424028E-17</v>
      </c>
      <c r="G22">
        <f t="shared" si="14"/>
        <v>1.4460375014051456E-16</v>
      </c>
      <c r="H22">
        <f t="shared" si="14"/>
        <v>2.5796127830103226E-16</v>
      </c>
      <c r="I22">
        <f t="shared" si="14"/>
        <v>5.139881792903711E-16</v>
      </c>
      <c r="J22">
        <f t="shared" si="14"/>
        <v>8.024625553873702E-16</v>
      </c>
      <c r="K22">
        <f t="shared" si="14"/>
        <v>1.4643907571508734E-15</v>
      </c>
      <c r="L22">
        <f t="shared" si="14"/>
        <v>2.6760358956732833E-15</v>
      </c>
      <c r="M22">
        <f t="shared" si="14"/>
        <v>4.69522310417346E-15</v>
      </c>
      <c r="N22">
        <f t="shared" si="14"/>
        <v>9.60606336549547E-15</v>
      </c>
      <c r="O22">
        <f t="shared" si="14"/>
        <v>1.8333941372921137E-14</v>
      </c>
      <c r="P22">
        <f t="shared" si="14"/>
        <v>3.509963469652993E-14</v>
      </c>
      <c r="Q22">
        <f t="shared" si="14"/>
        <v>7.494864247696411E-14</v>
      </c>
      <c r="R22">
        <f t="shared" si="14"/>
        <v>1.2057393502986056E-13</v>
      </c>
      <c r="S22">
        <f t="shared" si="14"/>
        <v>2.2434813645133992E-13</v>
      </c>
      <c r="T22">
        <f t="shared" si="14"/>
        <v>4.081486753693426E-13</v>
      </c>
      <c r="U22">
        <f t="shared" si="14"/>
        <v>6.988428022263212E-13</v>
      </c>
      <c r="V22">
        <f t="shared" si="14"/>
        <v>1.3525613709484807E-12</v>
      </c>
      <c r="W22">
        <f t="shared" si="14"/>
        <v>2.415771320838851E-12</v>
      </c>
      <c r="X22">
        <f t="shared" si="14"/>
        <v>4.306127629314345E-12</v>
      </c>
      <c r="Y22">
        <f t="shared" si="14"/>
        <v>8.530047856115847E-12</v>
      </c>
      <c r="Z22">
        <f t="shared" si="14"/>
        <v>1.3218181871629071E-11</v>
      </c>
      <c r="AA22">
        <f t="shared" si="14"/>
        <v>2.372115388682214E-11</v>
      </c>
      <c r="AB22">
        <f t="shared" si="14"/>
        <v>4.21826074888274E-11</v>
      </c>
      <c r="AC22">
        <f t="shared" si="14"/>
        <v>7.129896790350676E-11</v>
      </c>
      <c r="AD22">
        <f t="shared" si="14"/>
        <v>1.3670529310434281E-10</v>
      </c>
      <c r="AE22">
        <f t="shared" si="14"/>
        <v>2.4304332286591227E-10</v>
      </c>
    </row>
    <row r="23" spans="4:31" ht="12.75">
      <c r="D23">
        <f>Rglb*Rglb</f>
        <v>1000000000000</v>
      </c>
      <c r="E23">
        <f aca="true" t="shared" si="15" ref="E23:AE23">Rglb*Rglb</f>
        <v>1000000000000</v>
      </c>
      <c r="F23">
        <f t="shared" si="15"/>
        <v>1000000000000</v>
      </c>
      <c r="G23">
        <f t="shared" si="15"/>
        <v>1000000000000</v>
      </c>
      <c r="H23">
        <f t="shared" si="15"/>
        <v>1000000000000</v>
      </c>
      <c r="I23">
        <f t="shared" si="15"/>
        <v>1000000000000</v>
      </c>
      <c r="J23">
        <f t="shared" si="15"/>
        <v>1000000000000</v>
      </c>
      <c r="K23">
        <f t="shared" si="15"/>
        <v>1000000000000</v>
      </c>
      <c r="L23">
        <f t="shared" si="15"/>
        <v>1000000000000</v>
      </c>
      <c r="M23">
        <f t="shared" si="15"/>
        <v>1000000000000</v>
      </c>
      <c r="N23">
        <f t="shared" si="15"/>
        <v>1000000000000</v>
      </c>
      <c r="O23">
        <f t="shared" si="15"/>
        <v>1000000000000</v>
      </c>
      <c r="P23">
        <f t="shared" si="15"/>
        <v>1000000000000</v>
      </c>
      <c r="Q23">
        <f t="shared" si="15"/>
        <v>1000000000000</v>
      </c>
      <c r="R23">
        <f t="shared" si="15"/>
        <v>1000000000000</v>
      </c>
      <c r="S23">
        <f t="shared" si="15"/>
        <v>1000000000000</v>
      </c>
      <c r="T23">
        <f t="shared" si="15"/>
        <v>1000000000000</v>
      </c>
      <c r="U23">
        <f t="shared" si="15"/>
        <v>1000000000000</v>
      </c>
      <c r="V23">
        <f t="shared" si="15"/>
        <v>1000000000000</v>
      </c>
      <c r="W23">
        <f t="shared" si="15"/>
        <v>1000000000000</v>
      </c>
      <c r="X23">
        <f t="shared" si="15"/>
        <v>1000000000000</v>
      </c>
      <c r="Y23">
        <f t="shared" si="15"/>
        <v>1000000000000</v>
      </c>
      <c r="Z23">
        <f t="shared" si="15"/>
        <v>1000000000000</v>
      </c>
      <c r="AA23">
        <f t="shared" si="15"/>
        <v>1000000000000</v>
      </c>
      <c r="AB23">
        <f t="shared" si="15"/>
        <v>1000000000000</v>
      </c>
      <c r="AC23">
        <f t="shared" si="15"/>
        <v>1000000000000</v>
      </c>
      <c r="AD23">
        <f t="shared" si="15"/>
        <v>1000000000000</v>
      </c>
      <c r="AE23">
        <f t="shared" si="15"/>
        <v>1000000000000</v>
      </c>
    </row>
    <row r="24" spans="4:31" ht="12.75">
      <c r="D24">
        <f>D23*Rgsb*Rgsb*D22</f>
        <v>115654.14156303807</v>
      </c>
      <c r="E24">
        <f aca="true" t="shared" si="16" ref="E24:AE24">E23*Rgsb*Rgsb*E22</f>
        <v>195561.4631881796</v>
      </c>
      <c r="F24">
        <f t="shared" si="16"/>
        <v>375377.75054648705</v>
      </c>
      <c r="G24">
        <f t="shared" si="16"/>
        <v>668647.7406497393</v>
      </c>
      <c r="H24">
        <f t="shared" si="16"/>
        <v>1192812.9508639732</v>
      </c>
      <c r="I24">
        <f t="shared" si="16"/>
        <v>2376681.341038676</v>
      </c>
      <c r="J24">
        <f t="shared" si="16"/>
        <v>3710586.8561112</v>
      </c>
      <c r="K24">
        <f t="shared" si="16"/>
        <v>6771342.861065638</v>
      </c>
      <c r="L24">
        <f t="shared" si="16"/>
        <v>12373989.981593262</v>
      </c>
      <c r="M24">
        <f t="shared" si="16"/>
        <v>21710711.63369808</v>
      </c>
      <c r="N24">
        <f t="shared" si="16"/>
        <v>44418437.002051055</v>
      </c>
      <c r="O24">
        <f t="shared" si="16"/>
        <v>84776144.90838733</v>
      </c>
      <c r="P24">
        <f t="shared" si="16"/>
        <v>162300710.83675438</v>
      </c>
      <c r="Q24">
        <f t="shared" si="16"/>
        <v>346562522.81348205</v>
      </c>
      <c r="R24">
        <f t="shared" si="16"/>
        <v>557533875.5780752</v>
      </c>
      <c r="S24">
        <f t="shared" si="16"/>
        <v>1037385782.9509958</v>
      </c>
      <c r="T24">
        <f t="shared" si="16"/>
        <v>1887279474.90784</v>
      </c>
      <c r="U24">
        <f t="shared" si="16"/>
        <v>3231449117.494509</v>
      </c>
      <c r="V24">
        <f t="shared" si="16"/>
        <v>6254243779.265775</v>
      </c>
      <c r="W24">
        <f t="shared" si="16"/>
        <v>11170526587.558846</v>
      </c>
      <c r="X24">
        <f t="shared" si="16"/>
        <v>19911534157.94953</v>
      </c>
      <c r="Y24">
        <f t="shared" si="16"/>
        <v>39442941286.67968</v>
      </c>
      <c r="Z24">
        <f t="shared" si="16"/>
        <v>61120872974.41283</v>
      </c>
      <c r="AA24">
        <f t="shared" si="16"/>
        <v>109686615572.66557</v>
      </c>
      <c r="AB24">
        <f t="shared" si="16"/>
        <v>195052377028.3379</v>
      </c>
      <c r="AC24">
        <f t="shared" si="16"/>
        <v>329686427585.81525</v>
      </c>
      <c r="AD24">
        <f t="shared" si="16"/>
        <v>632125275314.4812</v>
      </c>
      <c r="AE24">
        <f t="shared" si="16"/>
        <v>1123832324931.9783</v>
      </c>
    </row>
    <row r="25" spans="4:31" ht="12.75">
      <c r="D25">
        <f aca="true" t="shared" si="17" ref="D25:AE25">SQRT(D23+D24)</f>
        <v>1000000.0578270691</v>
      </c>
      <c r="E25">
        <f t="shared" si="17"/>
        <v>1000000.0977807267</v>
      </c>
      <c r="F25">
        <f t="shared" si="17"/>
        <v>1000000.1876888577</v>
      </c>
      <c r="G25">
        <f t="shared" si="17"/>
        <v>1000000.3343238144</v>
      </c>
      <c r="H25">
        <f t="shared" si="17"/>
        <v>1000000.5964062975</v>
      </c>
      <c r="I25">
        <f t="shared" si="17"/>
        <v>1000001.1883399645</v>
      </c>
      <c r="J25">
        <f t="shared" si="17"/>
        <v>1000001.855291707</v>
      </c>
      <c r="K25">
        <f t="shared" si="17"/>
        <v>1000003.3856656991</v>
      </c>
      <c r="L25">
        <f t="shared" si="17"/>
        <v>1000006.1869758514</v>
      </c>
      <c r="M25">
        <f t="shared" si="17"/>
        <v>1000010.855296898</v>
      </c>
      <c r="N25">
        <f t="shared" si="17"/>
        <v>1000022.2089718818</v>
      </c>
      <c r="O25">
        <f t="shared" si="17"/>
        <v>1000042.387174118</v>
      </c>
      <c r="P25">
        <f t="shared" si="17"/>
        <v>1000081.1470629955</v>
      </c>
      <c r="Q25">
        <f t="shared" si="17"/>
        <v>1000173.2662508099</v>
      </c>
      <c r="R25">
        <f t="shared" si="17"/>
        <v>1000278.7280931141</v>
      </c>
      <c r="S25">
        <f t="shared" si="17"/>
        <v>1000518.5584400477</v>
      </c>
      <c r="T25">
        <f t="shared" si="17"/>
        <v>1000943.1949291168</v>
      </c>
      <c r="U25">
        <f t="shared" si="17"/>
        <v>1001614.4213805503</v>
      </c>
      <c r="V25">
        <f t="shared" si="17"/>
        <v>1003122.2476743629</v>
      </c>
      <c r="W25">
        <f t="shared" si="17"/>
        <v>1005569.7522238619</v>
      </c>
      <c r="X25">
        <f t="shared" si="17"/>
        <v>1009906.6957684505</v>
      </c>
      <c r="Y25">
        <f t="shared" si="17"/>
        <v>1019530.7456308906</v>
      </c>
      <c r="Z25">
        <f t="shared" si="17"/>
        <v>1030107.2143104391</v>
      </c>
      <c r="AA25">
        <f t="shared" si="17"/>
        <v>1053416.6391189506</v>
      </c>
      <c r="AB25">
        <f t="shared" si="17"/>
        <v>1093184.5118864144</v>
      </c>
      <c r="AC25">
        <f t="shared" si="17"/>
        <v>1153120.3005696393</v>
      </c>
      <c r="AD25">
        <f t="shared" si="17"/>
        <v>1277546.5844009295</v>
      </c>
      <c r="AE25">
        <f t="shared" si="17"/>
        <v>1457337.409432688</v>
      </c>
    </row>
    <row r="26" spans="4:31" ht="12.75">
      <c r="D26">
        <f>Rglb+Rgsb</f>
        <v>1068000</v>
      </c>
      <c r="E26">
        <f aca="true" t="shared" si="18" ref="E26:AE26">Rglb+Rgsb</f>
        <v>1068000</v>
      </c>
      <c r="F26">
        <f t="shared" si="18"/>
        <v>1068000</v>
      </c>
      <c r="G26">
        <f t="shared" si="18"/>
        <v>1068000</v>
      </c>
      <c r="H26">
        <f t="shared" si="18"/>
        <v>1068000</v>
      </c>
      <c r="I26">
        <f t="shared" si="18"/>
        <v>1068000</v>
      </c>
      <c r="J26">
        <f t="shared" si="18"/>
        <v>1068000</v>
      </c>
      <c r="K26">
        <f t="shared" si="18"/>
        <v>1068000</v>
      </c>
      <c r="L26">
        <f t="shared" si="18"/>
        <v>1068000</v>
      </c>
      <c r="M26">
        <f t="shared" si="18"/>
        <v>1068000</v>
      </c>
      <c r="N26">
        <f t="shared" si="18"/>
        <v>1068000</v>
      </c>
      <c r="O26">
        <f t="shared" si="18"/>
        <v>1068000</v>
      </c>
      <c r="P26">
        <f t="shared" si="18"/>
        <v>1068000</v>
      </c>
      <c r="Q26">
        <f t="shared" si="18"/>
        <v>1068000</v>
      </c>
      <c r="R26">
        <f t="shared" si="18"/>
        <v>1068000</v>
      </c>
      <c r="S26">
        <f t="shared" si="18"/>
        <v>1068000</v>
      </c>
      <c r="T26">
        <f t="shared" si="18"/>
        <v>1068000</v>
      </c>
      <c r="U26">
        <f t="shared" si="18"/>
        <v>1068000</v>
      </c>
      <c r="V26">
        <f t="shared" si="18"/>
        <v>1068000</v>
      </c>
      <c r="W26">
        <f t="shared" si="18"/>
        <v>1068000</v>
      </c>
      <c r="X26">
        <f t="shared" si="18"/>
        <v>1068000</v>
      </c>
      <c r="Y26">
        <f t="shared" si="18"/>
        <v>1068000</v>
      </c>
      <c r="Z26">
        <f t="shared" si="18"/>
        <v>1068000</v>
      </c>
      <c r="AA26">
        <f t="shared" si="18"/>
        <v>1068000</v>
      </c>
      <c r="AB26">
        <f t="shared" si="18"/>
        <v>1068000</v>
      </c>
      <c r="AC26">
        <f t="shared" si="18"/>
        <v>1068000</v>
      </c>
      <c r="AD26">
        <f t="shared" si="18"/>
        <v>1068000</v>
      </c>
      <c r="AE26">
        <f t="shared" si="18"/>
        <v>1068000</v>
      </c>
    </row>
    <row r="27" spans="4:31" ht="12.75">
      <c r="D27">
        <f aca="true" t="shared" si="19" ref="D27:AE27">D26*D26</f>
        <v>1140624000000</v>
      </c>
      <c r="E27">
        <f t="shared" si="19"/>
        <v>1140624000000</v>
      </c>
      <c r="F27">
        <f t="shared" si="19"/>
        <v>1140624000000</v>
      </c>
      <c r="G27">
        <f t="shared" si="19"/>
        <v>1140624000000</v>
      </c>
      <c r="H27">
        <f t="shared" si="19"/>
        <v>1140624000000</v>
      </c>
      <c r="I27">
        <f t="shared" si="19"/>
        <v>1140624000000</v>
      </c>
      <c r="J27">
        <f t="shared" si="19"/>
        <v>1140624000000</v>
      </c>
      <c r="K27">
        <f t="shared" si="19"/>
        <v>1140624000000</v>
      </c>
      <c r="L27">
        <f t="shared" si="19"/>
        <v>1140624000000</v>
      </c>
      <c r="M27">
        <f t="shared" si="19"/>
        <v>1140624000000</v>
      </c>
      <c r="N27">
        <f t="shared" si="19"/>
        <v>1140624000000</v>
      </c>
      <c r="O27">
        <f t="shared" si="19"/>
        <v>1140624000000</v>
      </c>
      <c r="P27">
        <f t="shared" si="19"/>
        <v>1140624000000</v>
      </c>
      <c r="Q27">
        <f t="shared" si="19"/>
        <v>1140624000000</v>
      </c>
      <c r="R27">
        <f t="shared" si="19"/>
        <v>1140624000000</v>
      </c>
      <c r="S27">
        <f t="shared" si="19"/>
        <v>1140624000000</v>
      </c>
      <c r="T27">
        <f t="shared" si="19"/>
        <v>1140624000000</v>
      </c>
      <c r="U27">
        <f t="shared" si="19"/>
        <v>1140624000000</v>
      </c>
      <c r="V27">
        <f t="shared" si="19"/>
        <v>1140624000000</v>
      </c>
      <c r="W27">
        <f t="shared" si="19"/>
        <v>1140624000000</v>
      </c>
      <c r="X27">
        <f t="shared" si="19"/>
        <v>1140624000000</v>
      </c>
      <c r="Y27">
        <f t="shared" si="19"/>
        <v>1140624000000</v>
      </c>
      <c r="Z27">
        <f t="shared" si="19"/>
        <v>1140624000000</v>
      </c>
      <c r="AA27">
        <f t="shared" si="19"/>
        <v>1140624000000</v>
      </c>
      <c r="AB27">
        <f t="shared" si="19"/>
        <v>1140624000000</v>
      </c>
      <c r="AC27">
        <f t="shared" si="19"/>
        <v>1140624000000</v>
      </c>
      <c r="AD27">
        <f t="shared" si="19"/>
        <v>1140624000000</v>
      </c>
      <c r="AE27">
        <f t="shared" si="19"/>
        <v>1140624000000</v>
      </c>
    </row>
    <row r="28" spans="4:31" ht="12.75">
      <c r="D28">
        <f aca="true" t="shared" si="20" ref="D28:AE28">D22*D27</f>
        <v>2.8528955356011835E-05</v>
      </c>
      <c r="E28">
        <f t="shared" si="20"/>
        <v>4.8240073180699435E-05</v>
      </c>
      <c r="F28">
        <f t="shared" si="20"/>
        <v>9.259620919968345E-05</v>
      </c>
      <c r="G28">
        <f t="shared" si="20"/>
        <v>0.00016493850790027427</v>
      </c>
      <c r="H28">
        <f t="shared" si="20"/>
        <v>0.00029423682510083663</v>
      </c>
      <c r="I28">
        <f t="shared" si="20"/>
        <v>0.0005862672530149003</v>
      </c>
      <c r="J28">
        <f t="shared" si="20"/>
        <v>0.0009153080497761638</v>
      </c>
      <c r="K28">
        <f t="shared" si="20"/>
        <v>0.0016703192429844578</v>
      </c>
      <c r="L28">
        <f t="shared" si="20"/>
        <v>0.003052350767466443</v>
      </c>
      <c r="M28">
        <f t="shared" si="20"/>
        <v>0.0053554841579747485</v>
      </c>
      <c r="N28">
        <f t="shared" si="20"/>
        <v>0.010956906420204904</v>
      </c>
      <c r="O28">
        <f t="shared" si="20"/>
        <v>0.0209121335445468</v>
      </c>
      <c r="P28">
        <f t="shared" si="20"/>
        <v>0.040035485726094756</v>
      </c>
      <c r="Q28">
        <f t="shared" si="20"/>
        <v>0.08548822037664472</v>
      </c>
      <c r="R28">
        <f t="shared" si="20"/>
        <v>0.13752952406949967</v>
      </c>
      <c r="S28">
        <f t="shared" si="20"/>
        <v>0.25589686879167317</v>
      </c>
      <c r="T28">
        <f t="shared" si="20"/>
        <v>0.465544174694481</v>
      </c>
      <c r="U28">
        <f t="shared" si="20"/>
        <v>0.7971168724465953</v>
      </c>
      <c r="V28">
        <f t="shared" si="20"/>
        <v>1.5427639611767399</v>
      </c>
      <c r="W28">
        <f t="shared" si="20"/>
        <v>2.7554867470604933</v>
      </c>
      <c r="X28">
        <f t="shared" si="20"/>
        <v>4.911672521059046</v>
      </c>
      <c r="Y28">
        <f t="shared" si="20"/>
        <v>9.729577305834283</v>
      </c>
      <c r="Z28">
        <f t="shared" si="20"/>
        <v>15.076975479145037</v>
      </c>
      <c r="AA28">
        <f t="shared" si="20"/>
        <v>27.056917431002617</v>
      </c>
      <c r="AB28">
        <f t="shared" si="20"/>
        <v>48.11449448433626</v>
      </c>
      <c r="AC28">
        <f t="shared" si="20"/>
        <v>81.3253139659695</v>
      </c>
      <c r="AD28">
        <f t="shared" si="20"/>
        <v>155.92933824184792</v>
      </c>
      <c r="AE28">
        <f t="shared" si="20"/>
        <v>277.2210471006083</v>
      </c>
    </row>
    <row r="29" spans="4:31" ht="12.75">
      <c r="D29">
        <f aca="true" t="shared" si="21" ref="D29:AE29">SQRT(1+D28)</f>
        <v>1.0000142643759418</v>
      </c>
      <c r="E29">
        <f t="shared" si="21"/>
        <v>1.0000241197457094</v>
      </c>
      <c r="F29">
        <f t="shared" si="21"/>
        <v>1.0000462970328923</v>
      </c>
      <c r="G29">
        <f t="shared" si="21"/>
        <v>1.0000824658536416</v>
      </c>
      <c r="H29">
        <f t="shared" si="21"/>
        <v>1.0001471075922286</v>
      </c>
      <c r="I29">
        <f t="shared" si="21"/>
        <v>1.0002930906754355</v>
      </c>
      <c r="J29">
        <f t="shared" si="21"/>
        <v>1.0004575493491845</v>
      </c>
      <c r="K29">
        <f t="shared" si="21"/>
        <v>1.0008348111666503</v>
      </c>
      <c r="L29">
        <f t="shared" si="21"/>
        <v>1.0015250125520911</v>
      </c>
      <c r="M29">
        <f t="shared" si="21"/>
        <v>1.002674166495764</v>
      </c>
      <c r="N29">
        <f t="shared" si="21"/>
        <v>1.0054635281402329</v>
      </c>
      <c r="O29">
        <f t="shared" si="21"/>
        <v>1.0104019663206059</v>
      </c>
      <c r="P29">
        <f t="shared" si="21"/>
        <v>1.0198213008787838</v>
      </c>
      <c r="Q29">
        <f t="shared" si="21"/>
        <v>1.0418676597229826</v>
      </c>
      <c r="R29">
        <f t="shared" si="21"/>
        <v>1.0665502913925342</v>
      </c>
      <c r="S29">
        <f t="shared" si="21"/>
        <v>1.1206680457618452</v>
      </c>
      <c r="T29">
        <f t="shared" si="21"/>
        <v>1.210596619313998</v>
      </c>
      <c r="U29">
        <f t="shared" si="21"/>
        <v>1.340565877697398</v>
      </c>
      <c r="V29">
        <f t="shared" si="21"/>
        <v>1.5946046410244579</v>
      </c>
      <c r="W29">
        <f t="shared" si="21"/>
        <v>1.9379078272870702</v>
      </c>
      <c r="X29">
        <f t="shared" si="21"/>
        <v>2.4313931235115076</v>
      </c>
      <c r="Y29">
        <f t="shared" si="21"/>
        <v>3.2756033498936166</v>
      </c>
      <c r="Z29">
        <f t="shared" si="21"/>
        <v>4.009610389943771</v>
      </c>
      <c r="AA29">
        <f t="shared" si="21"/>
        <v>5.296878083456576</v>
      </c>
      <c r="AB29">
        <f t="shared" si="21"/>
        <v>7.008173405698254</v>
      </c>
      <c r="AC29">
        <f t="shared" si="21"/>
        <v>9.07332981688473</v>
      </c>
      <c r="AD29">
        <f t="shared" si="21"/>
        <v>12.527144057679225</v>
      </c>
      <c r="AE29">
        <f t="shared" si="21"/>
        <v>16.679959445412578</v>
      </c>
    </row>
    <row r="30" spans="3:31" s="22" customFormat="1" ht="12.75">
      <c r="C30" s="22" t="s">
        <v>28</v>
      </c>
      <c r="D30" s="22">
        <f aca="true" t="shared" si="22" ref="D30:AE30">D25/D29</f>
        <v>999985.793653772</v>
      </c>
      <c r="E30" s="22">
        <f t="shared" si="22"/>
        <v>999975.9786144071</v>
      </c>
      <c r="F30" s="22">
        <f t="shared" si="22"/>
        <v>999953.8927905924</v>
      </c>
      <c r="G30" s="22">
        <f t="shared" si="22"/>
        <v>999917.875242661</v>
      </c>
      <c r="H30" s="22">
        <f t="shared" si="22"/>
        <v>999853.5103638066</v>
      </c>
      <c r="I30" s="22">
        <f t="shared" si="22"/>
        <v>999708.183193314</v>
      </c>
      <c r="J30" s="22">
        <f t="shared" si="22"/>
        <v>999544.5143496853</v>
      </c>
      <c r="K30" s="22">
        <f t="shared" si="22"/>
        <v>999169.2680033961</v>
      </c>
      <c r="L30" s="22">
        <f t="shared" si="22"/>
        <v>998483.4871249301</v>
      </c>
      <c r="M30" s="22">
        <f t="shared" si="22"/>
        <v>997343.791943724</v>
      </c>
      <c r="N30" s="22">
        <f t="shared" si="22"/>
        <v>994588.2480904944</v>
      </c>
      <c r="O30" s="22">
        <f t="shared" si="22"/>
        <v>989747.0714707609</v>
      </c>
      <c r="P30" s="22">
        <f t="shared" si="22"/>
        <v>980643.5168604753</v>
      </c>
      <c r="Q30" s="22">
        <f t="shared" si="22"/>
        <v>959981.104046114</v>
      </c>
      <c r="R30" s="22">
        <f t="shared" si="22"/>
        <v>937863.6302157931</v>
      </c>
      <c r="S30" s="22">
        <f t="shared" si="22"/>
        <v>892787.6209407592</v>
      </c>
      <c r="T30" s="22">
        <f t="shared" si="22"/>
        <v>826818.0985804467</v>
      </c>
      <c r="U30" s="22">
        <f t="shared" si="22"/>
        <v>747157.9263981845</v>
      </c>
      <c r="V30" s="22">
        <f t="shared" si="22"/>
        <v>629072.7004468672</v>
      </c>
      <c r="W30" s="22">
        <f t="shared" si="22"/>
        <v>518894.520195827</v>
      </c>
      <c r="X30" s="22">
        <f t="shared" si="22"/>
        <v>415361.33585419785</v>
      </c>
      <c r="Y30" s="22">
        <f t="shared" si="22"/>
        <v>311249.7566788733</v>
      </c>
      <c r="Z30" s="22">
        <f t="shared" si="22"/>
        <v>256909.55333066283</v>
      </c>
      <c r="AA30" s="22">
        <f t="shared" si="22"/>
        <v>198875.00193916564</v>
      </c>
      <c r="AB30" s="22">
        <f t="shared" si="22"/>
        <v>155987.08088438</v>
      </c>
      <c r="AC30" s="22">
        <f t="shared" si="22"/>
        <v>127088.98759789114</v>
      </c>
      <c r="AD30" s="22">
        <f t="shared" si="22"/>
        <v>101982.26974310116</v>
      </c>
      <c r="AE30" s="22">
        <f t="shared" si="22"/>
        <v>87370.56071401262</v>
      </c>
    </row>
    <row r="31" spans="3:31" s="38" customFormat="1" ht="12.75">
      <c r="C31" s="38" t="s">
        <v>62</v>
      </c>
      <c r="D31" s="39">
        <f aca="true" t="shared" si="23" ref="D31:AE31">D30/1000</f>
        <v>999.985793653772</v>
      </c>
      <c r="E31" s="39">
        <f t="shared" si="23"/>
        <v>999.9759786144072</v>
      </c>
      <c r="F31" s="39">
        <f t="shared" si="23"/>
        <v>999.9538927905924</v>
      </c>
      <c r="G31" s="39">
        <f t="shared" si="23"/>
        <v>999.917875242661</v>
      </c>
      <c r="H31" s="39">
        <f t="shared" si="23"/>
        <v>999.8535103638067</v>
      </c>
      <c r="I31" s="39">
        <f t="shared" si="23"/>
        <v>999.708183193314</v>
      </c>
      <c r="J31" s="39">
        <f t="shared" si="23"/>
        <v>999.5445143496853</v>
      </c>
      <c r="K31" s="39">
        <f t="shared" si="23"/>
        <v>999.1692680033962</v>
      </c>
      <c r="L31" s="39">
        <f t="shared" si="23"/>
        <v>998.4834871249301</v>
      </c>
      <c r="M31" s="39">
        <f t="shared" si="23"/>
        <v>997.343791943724</v>
      </c>
      <c r="N31" s="39">
        <f t="shared" si="23"/>
        <v>994.5882480904944</v>
      </c>
      <c r="O31" s="39">
        <f t="shared" si="23"/>
        <v>989.7470714707608</v>
      </c>
      <c r="P31" s="39">
        <f t="shared" si="23"/>
        <v>980.6435168604753</v>
      </c>
      <c r="Q31" s="39">
        <f t="shared" si="23"/>
        <v>959.9811040461141</v>
      </c>
      <c r="R31" s="39">
        <f t="shared" si="23"/>
        <v>937.8636302157931</v>
      </c>
      <c r="S31" s="39">
        <f t="shared" si="23"/>
        <v>892.7876209407592</v>
      </c>
      <c r="T31" s="39">
        <f t="shared" si="23"/>
        <v>826.8180985804466</v>
      </c>
      <c r="U31" s="39">
        <f t="shared" si="23"/>
        <v>747.1579263981845</v>
      </c>
      <c r="V31" s="39">
        <f t="shared" si="23"/>
        <v>629.0727004468672</v>
      </c>
      <c r="W31" s="39">
        <f t="shared" si="23"/>
        <v>518.894520195827</v>
      </c>
      <c r="X31" s="39">
        <f t="shared" si="23"/>
        <v>415.3613358541979</v>
      </c>
      <c r="Y31" s="39">
        <f t="shared" si="23"/>
        <v>311.2497566788733</v>
      </c>
      <c r="Z31" s="39">
        <f t="shared" si="23"/>
        <v>256.90955333066285</v>
      </c>
      <c r="AA31" s="39">
        <f t="shared" si="23"/>
        <v>198.87500193916563</v>
      </c>
      <c r="AB31" s="39">
        <f t="shared" si="23"/>
        <v>155.98708088438</v>
      </c>
      <c r="AC31" s="39">
        <f t="shared" si="23"/>
        <v>127.08898759789115</v>
      </c>
      <c r="AD31" s="39">
        <f t="shared" si="23"/>
        <v>101.98226974310116</v>
      </c>
      <c r="AE31" s="39">
        <f t="shared" si="23"/>
        <v>87.37056071401263</v>
      </c>
    </row>
  </sheetData>
  <sheetProtection sheet="1" objects="1" scenarios="1"/>
  <hyperlinks>
    <hyperlink ref="B2" location="Formulaire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I19"/>
  <sheetViews>
    <sheetView workbookViewId="0" topLeftCell="A1">
      <selection activeCell="B2" sqref="B2"/>
    </sheetView>
  </sheetViews>
  <sheetFormatPr defaultColWidth="11.421875" defaultRowHeight="12.75"/>
  <cols>
    <col min="3" max="3" width="21.140625" style="0" customWidth="1"/>
    <col min="4" max="4" width="12.00390625" style="0" bestFit="1" customWidth="1"/>
  </cols>
  <sheetData>
    <row r="2" ht="12.75">
      <c r="B2" s="37" t="s">
        <v>61</v>
      </c>
    </row>
    <row r="4" spans="2:35" s="39" customFormat="1" ht="12.75">
      <c r="B4" s="40"/>
      <c r="C4" s="39" t="s">
        <v>59</v>
      </c>
      <c r="D4" s="39">
        <v>10</v>
      </c>
      <c r="E4" s="39">
        <v>13</v>
      </c>
      <c r="F4" s="39">
        <v>18</v>
      </c>
      <c r="G4" s="39">
        <v>24</v>
      </c>
      <c r="H4" s="41">
        <v>32</v>
      </c>
      <c r="I4" s="41">
        <v>45</v>
      </c>
      <c r="J4" s="41">
        <v>56</v>
      </c>
      <c r="K4" s="41">
        <v>75</v>
      </c>
      <c r="L4" s="41">
        <v>100</v>
      </c>
      <c r="M4" s="41">
        <f aca="true" t="shared" si="0" ref="M4:AE4">E4*10</f>
        <v>130</v>
      </c>
      <c r="N4" s="41">
        <f t="shared" si="0"/>
        <v>180</v>
      </c>
      <c r="O4" s="41">
        <f t="shared" si="0"/>
        <v>240</v>
      </c>
      <c r="P4" s="41">
        <f t="shared" si="0"/>
        <v>320</v>
      </c>
      <c r="Q4" s="41">
        <f t="shared" si="0"/>
        <v>450</v>
      </c>
      <c r="R4" s="41">
        <f t="shared" si="0"/>
        <v>560</v>
      </c>
      <c r="S4" s="41">
        <f t="shared" si="0"/>
        <v>750</v>
      </c>
      <c r="T4" s="41">
        <f t="shared" si="0"/>
        <v>1000</v>
      </c>
      <c r="U4" s="41">
        <f t="shared" si="0"/>
        <v>1300</v>
      </c>
      <c r="V4" s="41">
        <f t="shared" si="0"/>
        <v>1800</v>
      </c>
      <c r="W4" s="41">
        <f t="shared" si="0"/>
        <v>2400</v>
      </c>
      <c r="X4" s="41">
        <f t="shared" si="0"/>
        <v>3200</v>
      </c>
      <c r="Y4" s="41">
        <f t="shared" si="0"/>
        <v>4500</v>
      </c>
      <c r="Z4" s="41">
        <f t="shared" si="0"/>
        <v>5600</v>
      </c>
      <c r="AA4" s="41">
        <f t="shared" si="0"/>
        <v>7500</v>
      </c>
      <c r="AB4" s="41">
        <f t="shared" si="0"/>
        <v>10000</v>
      </c>
      <c r="AC4" s="41">
        <f t="shared" si="0"/>
        <v>13000</v>
      </c>
      <c r="AD4" s="41">
        <f t="shared" si="0"/>
        <v>18000</v>
      </c>
      <c r="AE4" s="41">
        <f t="shared" si="0"/>
        <v>24000</v>
      </c>
      <c r="AF4" s="41"/>
      <c r="AG4" s="41"/>
      <c r="AH4" s="41"/>
      <c r="AI4" s="41"/>
    </row>
    <row r="5" spans="4:31" ht="12.75">
      <c r="D5">
        <f aca="true" t="shared" si="1" ref="D5:AE5">D4*2*PI()</f>
        <v>62.83185307179586</v>
      </c>
      <c r="E5">
        <f t="shared" si="1"/>
        <v>81.68140899333463</v>
      </c>
      <c r="F5">
        <f t="shared" si="1"/>
        <v>113.09733552923255</v>
      </c>
      <c r="G5">
        <f t="shared" si="1"/>
        <v>150.79644737231007</v>
      </c>
      <c r="H5">
        <f t="shared" si="1"/>
        <v>201.06192982974676</v>
      </c>
      <c r="I5">
        <f t="shared" si="1"/>
        <v>282.7433388230814</v>
      </c>
      <c r="J5">
        <f t="shared" si="1"/>
        <v>351.85837720205683</v>
      </c>
      <c r="K5">
        <f t="shared" si="1"/>
        <v>471.23889803846896</v>
      </c>
      <c r="L5">
        <f t="shared" si="1"/>
        <v>628.3185307179587</v>
      </c>
      <c r="M5">
        <f t="shared" si="1"/>
        <v>816.8140899333462</v>
      </c>
      <c r="N5">
        <f t="shared" si="1"/>
        <v>1130.9733552923256</v>
      </c>
      <c r="O5">
        <f t="shared" si="1"/>
        <v>1507.9644737231006</v>
      </c>
      <c r="P5">
        <f t="shared" si="1"/>
        <v>2010.6192982974676</v>
      </c>
      <c r="Q5">
        <f t="shared" si="1"/>
        <v>2827.4333882308138</v>
      </c>
      <c r="R5">
        <f t="shared" si="1"/>
        <v>3518.583772020568</v>
      </c>
      <c r="S5">
        <f t="shared" si="1"/>
        <v>4712.38898038469</v>
      </c>
      <c r="T5">
        <f t="shared" si="1"/>
        <v>6283.185307179586</v>
      </c>
      <c r="U5">
        <f t="shared" si="1"/>
        <v>8168.140899333462</v>
      </c>
      <c r="V5">
        <f t="shared" si="1"/>
        <v>11309.733552923255</v>
      </c>
      <c r="W5">
        <f t="shared" si="1"/>
        <v>15079.644737231007</v>
      </c>
      <c r="X5">
        <f t="shared" si="1"/>
        <v>20106.192982974677</v>
      </c>
      <c r="Y5">
        <f t="shared" si="1"/>
        <v>28274.33388230814</v>
      </c>
      <c r="Z5">
        <f t="shared" si="1"/>
        <v>35185.83772020568</v>
      </c>
      <c r="AA5">
        <f t="shared" si="1"/>
        <v>47123.8898038469</v>
      </c>
      <c r="AB5">
        <f t="shared" si="1"/>
        <v>62831.853071795864</v>
      </c>
      <c r="AC5">
        <f t="shared" si="1"/>
        <v>81681.40899333463</v>
      </c>
      <c r="AD5">
        <f t="shared" si="1"/>
        <v>113097.33552923256</v>
      </c>
      <c r="AE5">
        <f t="shared" si="1"/>
        <v>150796.44737231007</v>
      </c>
    </row>
    <row r="6" spans="3:31" ht="12.75">
      <c r="C6" s="29" t="s">
        <v>93</v>
      </c>
      <c r="D6">
        <f>RAb*rakb+(mub+1)*RAb*Rknd</f>
        <v>10997000000</v>
      </c>
      <c r="E6">
        <f aca="true" t="shared" si="2" ref="E6:AE6">RAb*rakb+(mub+1)*RAb*Rknd</f>
        <v>10997000000</v>
      </c>
      <c r="F6">
        <f t="shared" si="2"/>
        <v>10997000000</v>
      </c>
      <c r="G6">
        <f t="shared" si="2"/>
        <v>10997000000</v>
      </c>
      <c r="H6">
        <f t="shared" si="2"/>
        <v>10997000000</v>
      </c>
      <c r="I6">
        <f t="shared" si="2"/>
        <v>10997000000</v>
      </c>
      <c r="J6">
        <f t="shared" si="2"/>
        <v>10997000000</v>
      </c>
      <c r="K6">
        <f t="shared" si="2"/>
        <v>10997000000</v>
      </c>
      <c r="L6">
        <f t="shared" si="2"/>
        <v>10997000000</v>
      </c>
      <c r="M6">
        <f t="shared" si="2"/>
        <v>10997000000</v>
      </c>
      <c r="N6">
        <f t="shared" si="2"/>
        <v>10997000000</v>
      </c>
      <c r="O6">
        <f t="shared" si="2"/>
        <v>10997000000</v>
      </c>
      <c r="P6">
        <f t="shared" si="2"/>
        <v>10997000000</v>
      </c>
      <c r="Q6">
        <f t="shared" si="2"/>
        <v>10997000000</v>
      </c>
      <c r="R6">
        <f t="shared" si="2"/>
        <v>10997000000</v>
      </c>
      <c r="S6">
        <f t="shared" si="2"/>
        <v>10997000000</v>
      </c>
      <c r="T6">
        <f t="shared" si="2"/>
        <v>10997000000</v>
      </c>
      <c r="U6">
        <f t="shared" si="2"/>
        <v>10997000000</v>
      </c>
      <c r="V6">
        <f t="shared" si="2"/>
        <v>10997000000</v>
      </c>
      <c r="W6">
        <f t="shared" si="2"/>
        <v>10997000000</v>
      </c>
      <c r="X6">
        <f t="shared" si="2"/>
        <v>10997000000</v>
      </c>
      <c r="Y6">
        <f t="shared" si="2"/>
        <v>10997000000</v>
      </c>
      <c r="Z6">
        <f t="shared" si="2"/>
        <v>10997000000</v>
      </c>
      <c r="AA6">
        <f t="shared" si="2"/>
        <v>10997000000</v>
      </c>
      <c r="AB6">
        <f t="shared" si="2"/>
        <v>10997000000</v>
      </c>
      <c r="AC6">
        <f t="shared" si="2"/>
        <v>10997000000</v>
      </c>
      <c r="AD6">
        <f t="shared" si="2"/>
        <v>10997000000</v>
      </c>
      <c r="AE6">
        <f t="shared" si="2"/>
        <v>10997000000</v>
      </c>
    </row>
    <row r="7" spans="3:31" ht="12.75">
      <c r="C7" s="29" t="s">
        <v>94</v>
      </c>
      <c r="D7">
        <f>RAb+rakb+(mub+1)*Rknd</f>
        <v>209970</v>
      </c>
      <c r="E7">
        <f aca="true" t="shared" si="3" ref="E7:AE7">RAb+rakb+(mub+1)*Rknd</f>
        <v>209970</v>
      </c>
      <c r="F7">
        <f t="shared" si="3"/>
        <v>209970</v>
      </c>
      <c r="G7">
        <f t="shared" si="3"/>
        <v>209970</v>
      </c>
      <c r="H7">
        <f t="shared" si="3"/>
        <v>209970</v>
      </c>
      <c r="I7">
        <f t="shared" si="3"/>
        <v>209970</v>
      </c>
      <c r="J7">
        <f t="shared" si="3"/>
        <v>209970</v>
      </c>
      <c r="K7">
        <f t="shared" si="3"/>
        <v>209970</v>
      </c>
      <c r="L7">
        <f t="shared" si="3"/>
        <v>209970</v>
      </c>
      <c r="M7">
        <f t="shared" si="3"/>
        <v>209970</v>
      </c>
      <c r="N7">
        <f t="shared" si="3"/>
        <v>209970</v>
      </c>
      <c r="O7">
        <f t="shared" si="3"/>
        <v>209970</v>
      </c>
      <c r="P7">
        <f t="shared" si="3"/>
        <v>209970</v>
      </c>
      <c r="Q7">
        <f t="shared" si="3"/>
        <v>209970</v>
      </c>
      <c r="R7">
        <f t="shared" si="3"/>
        <v>209970</v>
      </c>
      <c r="S7">
        <f t="shared" si="3"/>
        <v>209970</v>
      </c>
      <c r="T7">
        <f t="shared" si="3"/>
        <v>209970</v>
      </c>
      <c r="U7">
        <f t="shared" si="3"/>
        <v>209970</v>
      </c>
      <c r="V7">
        <f t="shared" si="3"/>
        <v>209970</v>
      </c>
      <c r="W7">
        <f t="shared" si="3"/>
        <v>209970</v>
      </c>
      <c r="X7">
        <f t="shared" si="3"/>
        <v>209970</v>
      </c>
      <c r="Y7">
        <f t="shared" si="3"/>
        <v>209970</v>
      </c>
      <c r="Z7">
        <f t="shared" si="3"/>
        <v>209970</v>
      </c>
      <c r="AA7">
        <f t="shared" si="3"/>
        <v>209970</v>
      </c>
      <c r="AB7">
        <f t="shared" si="3"/>
        <v>209970</v>
      </c>
      <c r="AC7">
        <f t="shared" si="3"/>
        <v>209970</v>
      </c>
      <c r="AD7">
        <f t="shared" si="3"/>
        <v>209970</v>
      </c>
      <c r="AE7">
        <f t="shared" si="3"/>
        <v>209970</v>
      </c>
    </row>
    <row r="8" spans="3:31" ht="12.75">
      <c r="C8" s="52" t="s">
        <v>97</v>
      </c>
      <c r="D8">
        <f>D6+(mub+1)*RAb*Rkd</f>
        <v>26147000000</v>
      </c>
      <c r="E8">
        <f aca="true" t="shared" si="4" ref="E8:L8">E6+(mub+1)*RAb*Rkd</f>
        <v>26147000000</v>
      </c>
      <c r="F8">
        <f t="shared" si="4"/>
        <v>26147000000</v>
      </c>
      <c r="G8">
        <f t="shared" si="4"/>
        <v>26147000000</v>
      </c>
      <c r="H8">
        <f t="shared" si="4"/>
        <v>26147000000</v>
      </c>
      <c r="I8">
        <f t="shared" si="4"/>
        <v>26147000000</v>
      </c>
      <c r="J8">
        <f t="shared" si="4"/>
        <v>26147000000</v>
      </c>
      <c r="K8">
        <f t="shared" si="4"/>
        <v>26147000000</v>
      </c>
      <c r="L8">
        <f t="shared" si="4"/>
        <v>26147000000</v>
      </c>
      <c r="M8">
        <f aca="true" t="shared" si="5" ref="M8:AE8">M6+(mub+1)*RAb*Rkd</f>
        <v>26147000000</v>
      </c>
      <c r="N8">
        <f t="shared" si="5"/>
        <v>26147000000</v>
      </c>
      <c r="O8">
        <f t="shared" si="5"/>
        <v>26147000000</v>
      </c>
      <c r="P8">
        <f t="shared" si="5"/>
        <v>26147000000</v>
      </c>
      <c r="Q8">
        <f t="shared" si="5"/>
        <v>26147000000</v>
      </c>
      <c r="R8">
        <f t="shared" si="5"/>
        <v>26147000000</v>
      </c>
      <c r="S8">
        <f t="shared" si="5"/>
        <v>26147000000</v>
      </c>
      <c r="T8">
        <f t="shared" si="5"/>
        <v>26147000000</v>
      </c>
      <c r="U8">
        <f t="shared" si="5"/>
        <v>26147000000</v>
      </c>
      <c r="V8">
        <f t="shared" si="5"/>
        <v>26147000000</v>
      </c>
      <c r="W8">
        <f t="shared" si="5"/>
        <v>26147000000</v>
      </c>
      <c r="X8">
        <f t="shared" si="5"/>
        <v>26147000000</v>
      </c>
      <c r="Y8">
        <f t="shared" si="5"/>
        <v>26147000000</v>
      </c>
      <c r="Z8">
        <f t="shared" si="5"/>
        <v>26147000000</v>
      </c>
      <c r="AA8">
        <f t="shared" si="5"/>
        <v>26147000000</v>
      </c>
      <c r="AB8">
        <f t="shared" si="5"/>
        <v>26147000000</v>
      </c>
      <c r="AC8">
        <f t="shared" si="5"/>
        <v>26147000000</v>
      </c>
      <c r="AD8">
        <f t="shared" si="5"/>
        <v>26147000000</v>
      </c>
      <c r="AE8">
        <f t="shared" si="5"/>
        <v>26147000000</v>
      </c>
    </row>
    <row r="9" spans="3:31" ht="12.75">
      <c r="C9" s="52" t="s">
        <v>98</v>
      </c>
      <c r="D9">
        <f>D5*D6*CalcIntB!$D$41*Rkd</f>
        <v>487128131.20253</v>
      </c>
      <c r="E9">
        <f>E5*E6*CalcIntB!$D$41*Rkd</f>
        <v>633266570.563289</v>
      </c>
      <c r="F9">
        <f>F5*F6*CalcIntB!$D$41*Rkd</f>
        <v>876830636.1645541</v>
      </c>
      <c r="G9">
        <f>G5*G6*CalcIntB!$D$41*Rkd</f>
        <v>1169107514.8860722</v>
      </c>
      <c r="H9">
        <f>H5*H6*CalcIntB!$D$41*Rkd</f>
        <v>1558810019.8480961</v>
      </c>
      <c r="I9">
        <f>I5*I6*CalcIntB!$D$41*Rkd</f>
        <v>2192076590.411385</v>
      </c>
      <c r="J9">
        <f>J5*J6*CalcIntB!$D$41*Rkd</f>
        <v>2727917534.734168</v>
      </c>
      <c r="K9">
        <f>K5*K6*CalcIntB!$D$41*Rkd</f>
        <v>3653460984.0189753</v>
      </c>
      <c r="L9">
        <f>L5*L6*CalcIntB!$D$41*Rkd</f>
        <v>4871281312.025301</v>
      </c>
      <c r="M9">
        <f>M5*M6*CalcIntB!$D$41*Rkd</f>
        <v>6332665705.63289</v>
      </c>
      <c r="N9">
        <f>N5*N6*CalcIntB!$D$41*Rkd</f>
        <v>8768306361.64554</v>
      </c>
      <c r="O9">
        <f>O5*O6*CalcIntB!$D$41*Rkd</f>
        <v>11691075148.86072</v>
      </c>
      <c r="P9">
        <f>P5*P6*CalcIntB!$D$41*Rkd</f>
        <v>15588100198.48096</v>
      </c>
      <c r="Q9">
        <f>Q5*Q6*CalcIntB!$D$41*Rkd</f>
        <v>21920765904.11385</v>
      </c>
      <c r="R9">
        <f>R5*R6*CalcIntB!$D$41*Rkd</f>
        <v>27279175347.34168</v>
      </c>
      <c r="S9">
        <f>S5*S6*CalcIntB!$D$41*Rkd</f>
        <v>36534609840.18975</v>
      </c>
      <c r="T9">
        <f>T5*T6*CalcIntB!$D$41*Rkd</f>
        <v>48712813120.253</v>
      </c>
      <c r="U9">
        <f>U5*U6*CalcIntB!$D$41*Rkd</f>
        <v>63326657056.328896</v>
      </c>
      <c r="V9">
        <f>V5*V6*CalcIntB!$D$41*Rkd</f>
        <v>87683063616.4554</v>
      </c>
      <c r="W9">
        <f>W5*W6*CalcIntB!$D$41*Rkd</f>
        <v>116910751488.60721</v>
      </c>
      <c r="X9">
        <f>X5*X6*CalcIntB!$D$41*Rkd</f>
        <v>155881001984.80963</v>
      </c>
      <c r="Y9">
        <f>Y5*Y6*CalcIntB!$D$41*Rkd</f>
        <v>219207659041.13852</v>
      </c>
      <c r="Z9">
        <f>Z5*Z6*CalcIntB!$D$41*Rkd</f>
        <v>272791753473.4168</v>
      </c>
      <c r="AA9">
        <f>AA5*AA6*CalcIntB!$D$41*Rkd</f>
        <v>365346098401.8975</v>
      </c>
      <c r="AB9">
        <f>AB5*AB6*CalcIntB!$D$41*Rkd</f>
        <v>487128131202.52997</v>
      </c>
      <c r="AC9">
        <f>AC5*AC6*CalcIntB!$D$41*Rkd</f>
        <v>633266570563.2891</v>
      </c>
      <c r="AD9">
        <f>AD5*AD6*CalcIntB!$D$41*Rkd</f>
        <v>876830636164.5541</v>
      </c>
      <c r="AE9">
        <f>AE5*AE6*CalcIntB!$D$41*Rkd</f>
        <v>1169107514886.072</v>
      </c>
    </row>
    <row r="10" spans="3:31" ht="12.75">
      <c r="C10" s="52" t="s">
        <v>51</v>
      </c>
      <c r="D10">
        <f>SQRT(D8*D8+D9*D9)</f>
        <v>26151537293.555206</v>
      </c>
      <c r="E10">
        <f aca="true" t="shared" si="6" ref="E10:L10">SQRT(E8*E8+E9*E9)</f>
        <v>26154667567.174183</v>
      </c>
      <c r="F10">
        <f t="shared" si="6"/>
        <v>26161697975.561844</v>
      </c>
      <c r="G10">
        <f t="shared" si="6"/>
        <v>26173124027.929165</v>
      </c>
      <c r="H10">
        <f t="shared" si="6"/>
        <v>26193424703.11927</v>
      </c>
      <c r="I10">
        <f t="shared" si="6"/>
        <v>26238727270.54858</v>
      </c>
      <c r="J10">
        <f t="shared" si="6"/>
        <v>26288916734.55394</v>
      </c>
      <c r="K10">
        <f t="shared" si="6"/>
        <v>26401011082.186775</v>
      </c>
      <c r="L10">
        <f t="shared" si="6"/>
        <v>26596898139.08545</v>
      </c>
      <c r="M10">
        <f aca="true" t="shared" si="7" ref="M10:AE10">SQRT(M8*M8+M9*M9)</f>
        <v>26902941548.077953</v>
      </c>
      <c r="N10">
        <f t="shared" si="7"/>
        <v>27578049340.946392</v>
      </c>
      <c r="O10">
        <f t="shared" si="7"/>
        <v>28641697699.967243</v>
      </c>
      <c r="P10">
        <f t="shared" si="7"/>
        <v>30440999930.979305</v>
      </c>
      <c r="Q10">
        <f t="shared" si="7"/>
        <v>34120163933.11967</v>
      </c>
      <c r="R10">
        <f t="shared" si="7"/>
        <v>37786492515.59364</v>
      </c>
      <c r="S10">
        <f t="shared" si="7"/>
        <v>44927088990.6623</v>
      </c>
      <c r="T10">
        <f t="shared" si="7"/>
        <v>55286560492.48038</v>
      </c>
      <c r="U10">
        <f t="shared" si="7"/>
        <v>68512269725.42867</v>
      </c>
      <c r="V10">
        <f t="shared" si="7"/>
        <v>91498553290.02402</v>
      </c>
      <c r="W10">
        <f t="shared" si="7"/>
        <v>119798954180.03812</v>
      </c>
      <c r="X10">
        <f t="shared" si="7"/>
        <v>158058699187.32162</v>
      </c>
      <c r="Y10">
        <f t="shared" si="7"/>
        <v>220761553245.34216</v>
      </c>
      <c r="Z10">
        <f t="shared" si="7"/>
        <v>274041979215.0491</v>
      </c>
      <c r="AA10">
        <f t="shared" si="7"/>
        <v>366280544428.0231</v>
      </c>
      <c r="AB10">
        <f t="shared" si="7"/>
        <v>487829357273.493</v>
      </c>
      <c r="AC10">
        <f t="shared" si="7"/>
        <v>633806133610.262</v>
      </c>
      <c r="AD10">
        <f t="shared" si="7"/>
        <v>877220399971.2596</v>
      </c>
      <c r="AE10">
        <f t="shared" si="7"/>
        <v>1169399866158.7434</v>
      </c>
    </row>
    <row r="11" spans="3:31" ht="12.75">
      <c r="C11" s="52" t="s">
        <v>99</v>
      </c>
      <c r="D11">
        <f>D7+(mub+1)*Rkd</f>
        <v>361470</v>
      </c>
      <c r="E11">
        <f aca="true" t="shared" si="8" ref="E11:L11">E7+(mub+1)*Rkd</f>
        <v>361470</v>
      </c>
      <c r="F11">
        <f t="shared" si="8"/>
        <v>361470</v>
      </c>
      <c r="G11">
        <f t="shared" si="8"/>
        <v>361470</v>
      </c>
      <c r="H11">
        <f t="shared" si="8"/>
        <v>361470</v>
      </c>
      <c r="I11">
        <f t="shared" si="8"/>
        <v>361470</v>
      </c>
      <c r="J11">
        <f t="shared" si="8"/>
        <v>361470</v>
      </c>
      <c r="K11">
        <f t="shared" si="8"/>
        <v>361470</v>
      </c>
      <c r="L11">
        <f t="shared" si="8"/>
        <v>361470</v>
      </c>
      <c r="M11">
        <f aca="true" t="shared" si="9" ref="M11:AE11">M7+(mub+1)*Rkd</f>
        <v>361470</v>
      </c>
      <c r="N11">
        <f t="shared" si="9"/>
        <v>361470</v>
      </c>
      <c r="O11">
        <f t="shared" si="9"/>
        <v>361470</v>
      </c>
      <c r="P11">
        <f t="shared" si="9"/>
        <v>361470</v>
      </c>
      <c r="Q11">
        <f t="shared" si="9"/>
        <v>361470</v>
      </c>
      <c r="R11">
        <f t="shared" si="9"/>
        <v>361470</v>
      </c>
      <c r="S11">
        <f t="shared" si="9"/>
        <v>361470</v>
      </c>
      <c r="T11">
        <f t="shared" si="9"/>
        <v>361470</v>
      </c>
      <c r="U11">
        <f t="shared" si="9"/>
        <v>361470</v>
      </c>
      <c r="V11">
        <f t="shared" si="9"/>
        <v>361470</v>
      </c>
      <c r="W11">
        <f t="shared" si="9"/>
        <v>361470</v>
      </c>
      <c r="X11">
        <f t="shared" si="9"/>
        <v>361470</v>
      </c>
      <c r="Y11">
        <f t="shared" si="9"/>
        <v>361470</v>
      </c>
      <c r="Z11">
        <f t="shared" si="9"/>
        <v>361470</v>
      </c>
      <c r="AA11">
        <f t="shared" si="9"/>
        <v>361470</v>
      </c>
      <c r="AB11">
        <f t="shared" si="9"/>
        <v>361470</v>
      </c>
      <c r="AC11">
        <f t="shared" si="9"/>
        <v>361470</v>
      </c>
      <c r="AD11">
        <f t="shared" si="9"/>
        <v>361470</v>
      </c>
      <c r="AE11">
        <f t="shared" si="9"/>
        <v>361470</v>
      </c>
    </row>
    <row r="12" spans="3:31" ht="12.75">
      <c r="C12" s="52" t="s">
        <v>100</v>
      </c>
      <c r="D12">
        <f>D5*D7*CalcIntB!$D$41*Rkd</f>
        <v>9300.926953586908</v>
      </c>
      <c r="E12">
        <f>E5*E7*CalcIntB!$D$41*Rkd</f>
        <v>12091.20503966298</v>
      </c>
      <c r="F12">
        <f>F5*F7*CalcIntB!$D$41*Rkd</f>
        <v>16741.668516456433</v>
      </c>
      <c r="G12">
        <f>G5*G7*CalcIntB!$D$41*Rkd</f>
        <v>22322.22468860858</v>
      </c>
      <c r="H12">
        <f>H5*H7*CalcIntB!$D$41*Rkd</f>
        <v>29762.9662514781</v>
      </c>
      <c r="I12">
        <f>I5*I7*CalcIntB!$D$41*Rkd</f>
        <v>41854.17129114109</v>
      </c>
      <c r="J12">
        <f>J5*J7*CalcIntB!$D$41*Rkd</f>
        <v>52085.19094008668</v>
      </c>
      <c r="K12">
        <f>K5*K7*CalcIntB!$D$41*Rkd</f>
        <v>69756.95215190182</v>
      </c>
      <c r="L12">
        <f>L5*L7*CalcIntB!$D$41*Rkd</f>
        <v>93009.26953586908</v>
      </c>
      <c r="M12">
        <f>M5*M7*CalcIntB!$D$41*Rkd</f>
        <v>120912.05039662981</v>
      </c>
      <c r="N12">
        <f>N5*N7*CalcIntB!$D$41*Rkd</f>
        <v>167416.68516456435</v>
      </c>
      <c r="O12">
        <f>O5*O7*CalcIntB!$D$41*Rkd</f>
        <v>223222.24688608578</v>
      </c>
      <c r="P12">
        <f>P5*P7*CalcIntB!$D$41*Rkd</f>
        <v>297629.66251478106</v>
      </c>
      <c r="Q12">
        <f>Q5*Q7*CalcIntB!$D$41*Rkd</f>
        <v>418541.7129114109</v>
      </c>
      <c r="R12">
        <f>R5*R7*CalcIntB!$D$41*Rkd</f>
        <v>520851.90940086683</v>
      </c>
      <c r="S12">
        <f>S5*S7*CalcIntB!$D$41*Rkd</f>
        <v>697569.5215190181</v>
      </c>
      <c r="T12">
        <f>T5*T7*CalcIntB!$D$41*Rkd</f>
        <v>930092.6953586907</v>
      </c>
      <c r="U12">
        <f>U5*U7*CalcIntB!$D$41*Rkd</f>
        <v>1209120.503966298</v>
      </c>
      <c r="V12">
        <f>V5*V7*CalcIntB!$D$41*Rkd</f>
        <v>1674166.8516456436</v>
      </c>
      <c r="W12">
        <f>W5*W7*CalcIntB!$D$41*Rkd</f>
        <v>2232222.468860858</v>
      </c>
      <c r="X12">
        <f>X5*X7*CalcIntB!$D$41*Rkd</f>
        <v>2976296.6251478107</v>
      </c>
      <c r="Y12">
        <f>Y5*Y7*CalcIntB!$D$41*Rkd</f>
        <v>4185417.129114109</v>
      </c>
      <c r="Z12">
        <f>Z5*Z7*CalcIntB!$D$41*Rkd</f>
        <v>5208519.094008668</v>
      </c>
      <c r="AA12">
        <f>AA5*AA7*CalcIntB!$D$41*Rkd</f>
        <v>6975695.215190181</v>
      </c>
      <c r="AB12">
        <f>AB5*AB7*CalcIntB!$D$41*Rkd</f>
        <v>9300926.953586908</v>
      </c>
      <c r="AC12">
        <f>AC5*AC7*CalcIntB!$D$41*Rkd</f>
        <v>12091205.03966298</v>
      </c>
      <c r="AD12">
        <f>AD5*AD7*CalcIntB!$D$41*Rkd</f>
        <v>16741668.516456436</v>
      </c>
      <c r="AE12">
        <f>AE5*AE7*CalcIntB!$D$41*Rkd</f>
        <v>22322224.68860858</v>
      </c>
    </row>
    <row r="13" spans="3:31" ht="12.75">
      <c r="C13" s="52" t="s">
        <v>101</v>
      </c>
      <c r="D13">
        <f>SQRT(D11*D11+D12*D12)</f>
        <v>361589.6405349522</v>
      </c>
      <c r="E13">
        <f aca="true" t="shared" si="10" ref="E13:L13">SQRT(E11*E11+E12*E12)</f>
        <v>361672.1694287676</v>
      </c>
      <c r="F13">
        <f t="shared" si="10"/>
        <v>361857.491790228</v>
      </c>
      <c r="G13">
        <f t="shared" si="10"/>
        <v>362158.5876588442</v>
      </c>
      <c r="H13">
        <f t="shared" si="10"/>
        <v>362693.25201895693</v>
      </c>
      <c r="I13">
        <f t="shared" si="10"/>
        <v>363885.05404106417</v>
      </c>
      <c r="J13">
        <f t="shared" si="10"/>
        <v>365203.26944766706</v>
      </c>
      <c r="K13">
        <f t="shared" si="10"/>
        <v>368139.3666446482</v>
      </c>
      <c r="L13">
        <f t="shared" si="10"/>
        <v>373244.27004254994</v>
      </c>
      <c r="M13">
        <f aca="true" t="shared" si="11" ref="M13:AE13">SQRT(M11*M11+M12*M12)</f>
        <v>381156.5096271047</v>
      </c>
      <c r="N13">
        <f t="shared" si="11"/>
        <v>398357.76303655846</v>
      </c>
      <c r="O13">
        <f t="shared" si="11"/>
        <v>424839.65493450896</v>
      </c>
      <c r="P13">
        <f t="shared" si="11"/>
        <v>468234.9590842855</v>
      </c>
      <c r="Q13">
        <f t="shared" si="11"/>
        <v>553025.9725788815</v>
      </c>
      <c r="R13">
        <f t="shared" si="11"/>
        <v>633993.1170182597</v>
      </c>
      <c r="S13">
        <f t="shared" si="11"/>
        <v>785661.3763271502</v>
      </c>
      <c r="T13">
        <f t="shared" si="11"/>
        <v>997864.2106316842</v>
      </c>
      <c r="U13">
        <f t="shared" si="11"/>
        <v>1261995.6236103652</v>
      </c>
      <c r="V13">
        <f t="shared" si="11"/>
        <v>1712744.9337391385</v>
      </c>
      <c r="W13">
        <f t="shared" si="11"/>
        <v>2261300.0047289757</v>
      </c>
      <c r="X13">
        <f t="shared" si="11"/>
        <v>2998166.4666536194</v>
      </c>
      <c r="Y13">
        <f t="shared" si="11"/>
        <v>4200997.1561025595</v>
      </c>
      <c r="Z13">
        <f t="shared" si="11"/>
        <v>5221046.993999659</v>
      </c>
      <c r="AA13">
        <f t="shared" si="11"/>
        <v>6985054.351694565</v>
      </c>
      <c r="AB13">
        <f t="shared" si="11"/>
        <v>9307948.364535518</v>
      </c>
      <c r="AC13">
        <f t="shared" si="11"/>
        <v>12096606.956997134</v>
      </c>
      <c r="AD13">
        <f t="shared" si="11"/>
        <v>16745570.31802168</v>
      </c>
      <c r="AE13">
        <f t="shared" si="11"/>
        <v>22325151.188953377</v>
      </c>
    </row>
    <row r="14" spans="3:31" ht="12.75">
      <c r="C14" s="52" t="s">
        <v>44</v>
      </c>
      <c r="D14">
        <f>D10/D13</f>
        <v>72323.80124293778</v>
      </c>
      <c r="E14">
        <f aca="true" t="shared" si="12" ref="E14:L14">E10/E13</f>
        <v>72315.95289315017</v>
      </c>
      <c r="F14">
        <f t="shared" si="12"/>
        <v>72298.34553412539</v>
      </c>
      <c r="G14">
        <f t="shared" si="12"/>
        <v>72269.78710383204</v>
      </c>
      <c r="H14">
        <f t="shared" si="12"/>
        <v>72219.2226001222</v>
      </c>
      <c r="I14">
        <f t="shared" si="12"/>
        <v>72107.18598952833</v>
      </c>
      <c r="J14">
        <f t="shared" si="12"/>
        <v>71984.34114325773</v>
      </c>
      <c r="K14">
        <f t="shared" si="12"/>
        <v>71714.71859370783</v>
      </c>
      <c r="L14">
        <f t="shared" si="12"/>
        <v>71258.69108734984</v>
      </c>
      <c r="M14">
        <f aca="true" t="shared" si="13" ref="M14:AE14">M10/M13</f>
        <v>70582.40084735218</v>
      </c>
      <c r="N14">
        <f t="shared" si="13"/>
        <v>69229.35084966694</v>
      </c>
      <c r="O14">
        <f t="shared" si="13"/>
        <v>67417.66538809212</v>
      </c>
      <c r="P14">
        <f t="shared" si="13"/>
        <v>65012.232300022944</v>
      </c>
      <c r="Q14">
        <f t="shared" si="13"/>
        <v>61697.21789739794</v>
      </c>
      <c r="R14">
        <f t="shared" si="13"/>
        <v>59600.79297596751</v>
      </c>
      <c r="S14">
        <f t="shared" si="13"/>
        <v>57183.782153947475</v>
      </c>
      <c r="T14">
        <f t="shared" si="13"/>
        <v>55404.89367534485</v>
      </c>
      <c r="U14">
        <f t="shared" si="13"/>
        <v>54288.83305429076</v>
      </c>
      <c r="V14">
        <f t="shared" si="13"/>
        <v>53422.171327210475</v>
      </c>
      <c r="W14">
        <f t="shared" si="13"/>
        <v>52977.91267390742</v>
      </c>
      <c r="X14">
        <f t="shared" si="13"/>
        <v>52718.453409872745</v>
      </c>
      <c r="Y14">
        <f t="shared" si="13"/>
        <v>52549.7983079217</v>
      </c>
      <c r="Z14">
        <f t="shared" si="13"/>
        <v>52487.935758861124</v>
      </c>
      <c r="AA14">
        <f t="shared" si="13"/>
        <v>52437.751517160905</v>
      </c>
      <c r="AB14">
        <f t="shared" si="13"/>
        <v>52409.97673904012</v>
      </c>
      <c r="AC14">
        <f t="shared" si="13"/>
        <v>52395.36473850997</v>
      </c>
      <c r="AD14">
        <f t="shared" si="13"/>
        <v>52385.22088597902</v>
      </c>
      <c r="AE14">
        <f t="shared" si="13"/>
        <v>52380.37835718531</v>
      </c>
    </row>
    <row r="15" spans="4:31" ht="12.75">
      <c r="D15">
        <f aca="true" t="shared" si="14" ref="D15:AE15">D14*D14</f>
        <v>5230732226.227969</v>
      </c>
      <c r="E15">
        <f t="shared" si="14"/>
        <v>5229597042.844315</v>
      </c>
      <c r="F15">
        <f t="shared" si="14"/>
        <v>5227050766.971788</v>
      </c>
      <c r="G15">
        <f t="shared" si="14"/>
        <v>5222922128.033209</v>
      </c>
      <c r="H15">
        <f t="shared" si="14"/>
        <v>5215616112.9660015</v>
      </c>
      <c r="I15">
        <f t="shared" si="14"/>
        <v>5199446271.32843</v>
      </c>
      <c r="J15">
        <f t="shared" si="14"/>
        <v>5181745369.828907</v>
      </c>
      <c r="K15">
        <f t="shared" si="14"/>
        <v>5143000862.974704</v>
      </c>
      <c r="L15">
        <f t="shared" si="14"/>
        <v>5077801055.482352</v>
      </c>
      <c r="M15">
        <f t="shared" si="14"/>
        <v>4981875309.376302</v>
      </c>
      <c r="N15">
        <f t="shared" si="14"/>
        <v>4792703019.06628</v>
      </c>
      <c r="O15">
        <f t="shared" si="14"/>
        <v>4545141606.380754</v>
      </c>
      <c r="P15">
        <f t="shared" si="14"/>
        <v>4226590348.632147</v>
      </c>
      <c r="Q15">
        <f t="shared" si="14"/>
        <v>3806546696.2790008</v>
      </c>
      <c r="R15">
        <f t="shared" si="14"/>
        <v>3552254523.364138</v>
      </c>
      <c r="S15">
        <f t="shared" si="14"/>
        <v>3269984941.430122</v>
      </c>
      <c r="T15">
        <f t="shared" si="14"/>
        <v>3069702243.1762676</v>
      </c>
      <c r="U15">
        <f t="shared" si="14"/>
        <v>2947277394.3966527</v>
      </c>
      <c r="V15">
        <f t="shared" si="14"/>
        <v>2853928389.313829</v>
      </c>
      <c r="W15">
        <f t="shared" si="14"/>
        <v>2806659231.2841606</v>
      </c>
      <c r="X15">
        <f t="shared" si="14"/>
        <v>2779235329.928923</v>
      </c>
      <c r="Y15">
        <f t="shared" si="14"/>
        <v>2761481302.2032504</v>
      </c>
      <c r="Z15">
        <f t="shared" si="14"/>
        <v>2754983400.226332</v>
      </c>
      <c r="AA15">
        <f t="shared" si="14"/>
        <v>2749717784.175511</v>
      </c>
      <c r="AB15">
        <f t="shared" si="14"/>
        <v>2746805661.786726</v>
      </c>
      <c r="AC15">
        <f t="shared" si="14"/>
        <v>2745274246.081494</v>
      </c>
      <c r="AD15">
        <f t="shared" si="14"/>
        <v>2744211367.2728124</v>
      </c>
      <c r="AE15">
        <f t="shared" si="14"/>
        <v>2743704036.8418875</v>
      </c>
    </row>
    <row r="16" spans="4:31" ht="12.75">
      <c r="D16">
        <f aca="true" t="shared" si="15" ref="D16:AE16">SQRT(D12+D15)</f>
        <v>72323.86554350454</v>
      </c>
      <c r="E16">
        <f t="shared" si="15"/>
        <v>72316.03649294778</v>
      </c>
      <c r="F16">
        <f t="shared" si="15"/>
        <v>72298.46131585585</v>
      </c>
      <c r="G16">
        <f t="shared" si="15"/>
        <v>72269.94154043503</v>
      </c>
      <c r="H16">
        <f t="shared" si="15"/>
        <v>72219.42865969139</v>
      </c>
      <c r="I16">
        <f t="shared" si="15"/>
        <v>72107.47621085987</v>
      </c>
      <c r="J16">
        <f t="shared" si="15"/>
        <v>71984.70292374518</v>
      </c>
      <c r="K16">
        <f t="shared" si="15"/>
        <v>71715.20494237506</v>
      </c>
      <c r="L16">
        <f t="shared" si="15"/>
        <v>71259.34370138339</v>
      </c>
      <c r="M16">
        <f t="shared" si="15"/>
        <v>70583.25737330843</v>
      </c>
      <c r="N16">
        <f t="shared" si="15"/>
        <v>69230.55998438438</v>
      </c>
      <c r="O16">
        <f t="shared" si="15"/>
        <v>67419.32088524506</v>
      </c>
      <c r="P16">
        <f t="shared" si="15"/>
        <v>65014.52128789892</v>
      </c>
      <c r="Q16">
        <f t="shared" si="15"/>
        <v>61700.60970518778</v>
      </c>
      <c r="R16">
        <f t="shared" si="15"/>
        <v>59605.16232067101</v>
      </c>
      <c r="S16">
        <f t="shared" si="15"/>
        <v>57189.88119371854</v>
      </c>
      <c r="T16">
        <f t="shared" si="15"/>
        <v>55413.28663661474</v>
      </c>
      <c r="U16">
        <f t="shared" si="15"/>
        <v>54299.967908836</v>
      </c>
      <c r="V16">
        <f t="shared" si="15"/>
        <v>53437.83824375266</v>
      </c>
      <c r="W16">
        <f t="shared" si="15"/>
        <v>52998.97596890926</v>
      </c>
      <c r="X16">
        <f t="shared" si="15"/>
        <v>52746.67408049602</v>
      </c>
      <c r="Y16">
        <f t="shared" si="15"/>
        <v>52589.60657137838</v>
      </c>
      <c r="Z16">
        <f t="shared" si="15"/>
        <v>52537.528675417736</v>
      </c>
      <c r="AA16">
        <f t="shared" si="15"/>
        <v>52504.22344336407</v>
      </c>
      <c r="AB16">
        <f t="shared" si="15"/>
        <v>52498.63416071235</v>
      </c>
      <c r="AC16">
        <f t="shared" si="15"/>
        <v>52510.62226941475</v>
      </c>
      <c r="AD16">
        <f t="shared" si="15"/>
        <v>52544.771726493105</v>
      </c>
      <c r="AE16">
        <f t="shared" si="15"/>
        <v>52593.02483723955</v>
      </c>
    </row>
    <row r="18" spans="4:31" ht="12.75">
      <c r="D18">
        <f>D9/D16</f>
        <v>6735.371893382978</v>
      </c>
      <c r="E18">
        <f aca="true" t="shared" si="16" ref="E18:L18">E9/E16</f>
        <v>8756.931398266619</v>
      </c>
      <c r="F18">
        <f t="shared" si="16"/>
        <v>12127.929422092078</v>
      </c>
      <c r="G18">
        <f t="shared" si="16"/>
        <v>16176.953930867046</v>
      </c>
      <c r="H18">
        <f t="shared" si="16"/>
        <v>21584.358236804102</v>
      </c>
      <c r="I18">
        <f t="shared" si="16"/>
        <v>30400.129162768335</v>
      </c>
      <c r="J18">
        <f t="shared" si="16"/>
        <v>37895.79485552514</v>
      </c>
      <c r="K18">
        <f t="shared" si="16"/>
        <v>50944.02207948261</v>
      </c>
      <c r="L18">
        <f t="shared" si="16"/>
        <v>68359.89582557343</v>
      </c>
      <c r="M18">
        <f aca="true" t="shared" si="17" ref="M18:AE18">M9/M16</f>
        <v>89719.0912023229</v>
      </c>
      <c r="N18">
        <f t="shared" si="17"/>
        <v>126653.69691684302</v>
      </c>
      <c r="O18">
        <f t="shared" si="17"/>
        <v>173408.37901289732</v>
      </c>
      <c r="P18">
        <f t="shared" si="17"/>
        <v>239763.3619334571</v>
      </c>
      <c r="Q18">
        <f t="shared" si="17"/>
        <v>355276.32561256125</v>
      </c>
      <c r="R18">
        <f t="shared" si="17"/>
        <v>457664.6432163358</v>
      </c>
      <c r="S18">
        <f t="shared" si="17"/>
        <v>638829.9656793575</v>
      </c>
      <c r="T18">
        <f t="shared" si="17"/>
        <v>879081.8245396338</v>
      </c>
      <c r="U18">
        <f t="shared" si="17"/>
        <v>1166237.467444691</v>
      </c>
      <c r="V18">
        <f t="shared" si="17"/>
        <v>1640842.2664198303</v>
      </c>
      <c r="W18">
        <f t="shared" si="17"/>
        <v>2205905.856694108</v>
      </c>
      <c r="X18">
        <f t="shared" si="17"/>
        <v>2955276.4169911765</v>
      </c>
      <c r="Y18">
        <f t="shared" si="17"/>
        <v>4168269.613190853</v>
      </c>
      <c r="Z18">
        <f t="shared" si="17"/>
        <v>5192321.762196931</v>
      </c>
      <c r="AA18">
        <f t="shared" si="17"/>
        <v>6958413.522599639</v>
      </c>
      <c r="AB18">
        <f t="shared" si="17"/>
        <v>9278872.469544647</v>
      </c>
      <c r="AC18">
        <f t="shared" si="17"/>
        <v>12059780.349092158</v>
      </c>
      <c r="AD18">
        <f t="shared" si="17"/>
        <v>16687305.080106677</v>
      </c>
      <c r="AE18">
        <f t="shared" si="17"/>
        <v>22229326.38889144</v>
      </c>
    </row>
    <row r="19" spans="3:31" s="1" customFormat="1" ht="12.75">
      <c r="C19" s="1" t="s">
        <v>65</v>
      </c>
      <c r="D19" s="1">
        <f>D14/1000</f>
        <v>72.32380124293779</v>
      </c>
      <c r="E19" s="1">
        <f aca="true" t="shared" si="18" ref="E19:L19">E14/1000</f>
        <v>72.31595289315017</v>
      </c>
      <c r="F19" s="1">
        <f t="shared" si="18"/>
        <v>72.29834553412539</v>
      </c>
      <c r="G19" s="1">
        <f t="shared" si="18"/>
        <v>72.26978710383204</v>
      </c>
      <c r="H19" s="1">
        <f t="shared" si="18"/>
        <v>72.2192226001222</v>
      </c>
      <c r="I19" s="1">
        <f t="shared" si="18"/>
        <v>72.10718598952833</v>
      </c>
      <c r="J19" s="1">
        <f t="shared" si="18"/>
        <v>71.98434114325772</v>
      </c>
      <c r="K19" s="1">
        <f t="shared" si="18"/>
        <v>71.71471859370783</v>
      </c>
      <c r="L19" s="1">
        <f t="shared" si="18"/>
        <v>71.25869108734985</v>
      </c>
      <c r="M19" s="1">
        <f aca="true" t="shared" si="19" ref="M19:AE19">M14/1000</f>
        <v>70.58240084735218</v>
      </c>
      <c r="N19" s="1">
        <f t="shared" si="19"/>
        <v>69.22935084966694</v>
      </c>
      <c r="O19" s="1">
        <f t="shared" si="19"/>
        <v>67.41766538809212</v>
      </c>
      <c r="P19" s="1">
        <f t="shared" si="19"/>
        <v>65.01223230002294</v>
      </c>
      <c r="Q19" s="1">
        <f t="shared" si="19"/>
        <v>61.69721789739794</v>
      </c>
      <c r="R19" s="1">
        <f t="shared" si="19"/>
        <v>59.60079297596751</v>
      </c>
      <c r="S19" s="1">
        <f t="shared" si="19"/>
        <v>57.183782153947476</v>
      </c>
      <c r="T19" s="1">
        <f t="shared" si="19"/>
        <v>55.40489367534485</v>
      </c>
      <c r="U19" s="1">
        <f t="shared" si="19"/>
        <v>54.288833054290755</v>
      </c>
      <c r="V19" s="1">
        <f t="shared" si="19"/>
        <v>53.42217132721048</v>
      </c>
      <c r="W19" s="1">
        <f t="shared" si="19"/>
        <v>52.97791267390742</v>
      </c>
      <c r="X19" s="1">
        <f t="shared" si="19"/>
        <v>52.718453409872744</v>
      </c>
      <c r="Y19" s="1">
        <f t="shared" si="19"/>
        <v>52.5497983079217</v>
      </c>
      <c r="Z19" s="1">
        <f t="shared" si="19"/>
        <v>52.48793575886113</v>
      </c>
      <c r="AA19" s="1">
        <f t="shared" si="19"/>
        <v>52.437751517160905</v>
      </c>
      <c r="AB19" s="1">
        <f t="shared" si="19"/>
        <v>52.40997673904012</v>
      </c>
      <c r="AC19" s="1">
        <f t="shared" si="19"/>
        <v>52.39536473850997</v>
      </c>
      <c r="AD19" s="1">
        <f t="shared" si="19"/>
        <v>52.38522088597902</v>
      </c>
      <c r="AE19" s="1">
        <f t="shared" si="19"/>
        <v>52.380378357185315</v>
      </c>
    </row>
  </sheetData>
  <sheetProtection sheet="1" objects="1" scenarios="1"/>
  <hyperlinks>
    <hyperlink ref="B2" location="FormulaireB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B3" sqref="B3"/>
    </sheetView>
  </sheetViews>
  <sheetFormatPr defaultColWidth="11.421875" defaultRowHeight="12.75"/>
  <cols>
    <col min="7" max="7" width="20.28125" style="2" customWidth="1"/>
    <col min="9" max="9" width="6.7109375" style="0" customWidth="1"/>
    <col min="10" max="10" width="5.57421875" style="0" customWidth="1"/>
    <col min="11" max="11" width="12.57421875" style="1" customWidth="1"/>
    <col min="12" max="12" width="12.8515625" style="7" customWidth="1"/>
    <col min="13" max="13" width="6.140625" style="66" customWidth="1"/>
    <col min="14" max="14" width="12.421875" style="0" customWidth="1"/>
  </cols>
  <sheetData>
    <row r="1" ht="12.75">
      <c r="A1" s="37"/>
    </row>
    <row r="2" spans="2:18" s="1" customFormat="1" ht="22.5" customHeight="1">
      <c r="B2" s="88" t="s">
        <v>107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4" ht="12.75"/>
    <row r="5" spans="12:13" ht="13.5" thickBot="1">
      <c r="L5" s="86" t="s">
        <v>7</v>
      </c>
      <c r="M5" s="6"/>
    </row>
    <row r="6" spans="7:13" ht="13.5" thickBot="1">
      <c r="G6" s="2" t="s">
        <v>3</v>
      </c>
      <c r="H6" s="33">
        <v>100</v>
      </c>
      <c r="K6" s="62" t="s">
        <v>6</v>
      </c>
      <c r="L6" s="69">
        <f>IF(Ck&lt;&gt;0,20*LOG(mu*Rch/(Rch+rak)),20*LOG(mu*Rch/(Rch+rak+(mu+1)*Rk)))</f>
        <v>35.39853856956147</v>
      </c>
      <c r="M6" s="67">
        <f>IF(Ck&lt;&gt;0,(mu*Rch/(Rch+rak)),(mu*Rch/(Rch+rak+(mu+1)*Rk)))</f>
        <v>58.87445887445888</v>
      </c>
    </row>
    <row r="7" spans="11:12" ht="13.5" thickBot="1">
      <c r="K7" s="62"/>
      <c r="L7" s="69"/>
    </row>
    <row r="8" spans="7:12" ht="13.5" thickBot="1">
      <c r="G8" s="2" t="s">
        <v>0</v>
      </c>
      <c r="H8" s="33">
        <v>100000</v>
      </c>
      <c r="I8" t="s">
        <v>11</v>
      </c>
      <c r="K8" s="62"/>
      <c r="L8" s="69"/>
    </row>
    <row r="9" spans="11:12" ht="13.5" thickBot="1">
      <c r="K9" s="62"/>
      <c r="L9" s="69"/>
    </row>
    <row r="10" spans="7:12" ht="13.5" thickBot="1">
      <c r="G10" s="2" t="s">
        <v>1</v>
      </c>
      <c r="H10" s="33">
        <v>62500</v>
      </c>
      <c r="I10" t="s">
        <v>11</v>
      </c>
      <c r="K10" s="62" t="s">
        <v>9</v>
      </c>
      <c r="L10" s="69">
        <f>L6-L15</f>
        <v>6.833674011471032</v>
      </c>
    </row>
    <row r="11" spans="7:12" ht="12.75">
      <c r="G11" s="2" t="s">
        <v>23</v>
      </c>
      <c r="K11" s="62"/>
      <c r="L11" s="69"/>
    </row>
    <row r="12" spans="11:12" ht="13.5" thickBot="1">
      <c r="K12" s="62"/>
      <c r="L12" s="69"/>
    </row>
    <row r="13" spans="7:12" ht="13.5" thickBot="1">
      <c r="G13" s="2" t="s">
        <v>2</v>
      </c>
      <c r="H13" s="33">
        <v>850000</v>
      </c>
      <c r="I13" t="s">
        <v>11</v>
      </c>
      <c r="K13" s="62"/>
      <c r="L13" s="69"/>
    </row>
    <row r="14" spans="11:12" ht="12.75">
      <c r="K14" s="62"/>
      <c r="L14" s="69"/>
    </row>
    <row r="15" spans="11:13" ht="12.75">
      <c r="K15" s="62" t="s">
        <v>8</v>
      </c>
      <c r="L15" s="70">
        <f>IF(Ck=0,L6,20*LOG(mu*Rch/(Rch+rak+(mu+1)*Rk)))</f>
        <v>28.564864558090434</v>
      </c>
      <c r="M15" s="67">
        <f>mu*Rch/(Rch+rak+(mu+1)*Rk)</f>
        <v>26.80669221186748</v>
      </c>
    </row>
    <row r="16" spans="7:8" ht="12.75">
      <c r="G16" s="2" t="s">
        <v>13</v>
      </c>
      <c r="H16" s="23">
        <f>1/(1/RA+1/ZL)</f>
        <v>89473.6842105263</v>
      </c>
    </row>
    <row r="17" ht="12.75"/>
    <row r="18" ht="12.75"/>
    <row r="19" ht="13.5" thickBot="1"/>
    <row r="20" spans="7:13" ht="13.5" thickBot="1">
      <c r="G20" s="2" t="s">
        <v>4</v>
      </c>
      <c r="H20" s="33">
        <v>1800</v>
      </c>
      <c r="I20" t="s">
        <v>11</v>
      </c>
      <c r="K20" s="84" t="s">
        <v>10</v>
      </c>
      <c r="L20" s="85"/>
      <c r="M20" s="20"/>
    </row>
    <row r="21" spans="8:15" ht="13.5" thickBot="1">
      <c r="H21" t="s">
        <v>103</v>
      </c>
      <c r="K21" s="56" t="s">
        <v>104</v>
      </c>
      <c r="L21" s="57"/>
      <c r="M21" s="64"/>
      <c r="O21" s="37" t="s">
        <v>60</v>
      </c>
    </row>
    <row r="22" spans="7:15" ht="13.5" thickBot="1">
      <c r="G22" s="2" t="s">
        <v>5</v>
      </c>
      <c r="H22" s="50">
        <v>0.47</v>
      </c>
      <c r="I22" t="s">
        <v>12</v>
      </c>
      <c r="K22" s="5"/>
      <c r="L22" s="8"/>
      <c r="M22" s="20"/>
      <c r="O22" s="37" t="s">
        <v>63</v>
      </c>
    </row>
    <row r="23" spans="7:15" ht="12.75">
      <c r="G23" s="71" t="s">
        <v>102</v>
      </c>
      <c r="H23" s="72"/>
      <c r="K23" s="55">
        <f>CalcInt!B15</f>
        <v>316.1171344741563</v>
      </c>
      <c r="L23" s="87" t="s">
        <v>105</v>
      </c>
      <c r="M23" s="65"/>
      <c r="O23" s="37" t="s">
        <v>64</v>
      </c>
    </row>
    <row r="24" spans="7:9" ht="18" customHeight="1" thickBot="1">
      <c r="G24" s="58" t="s">
        <v>25</v>
      </c>
      <c r="H24" s="59"/>
      <c r="I24" s="60"/>
    </row>
    <row r="25" spans="7:9" ht="13.5" thickBot="1">
      <c r="G25" s="11" t="s">
        <v>15</v>
      </c>
      <c r="H25" s="33">
        <v>1.7</v>
      </c>
      <c r="I25" s="12" t="s">
        <v>17</v>
      </c>
    </row>
    <row r="26" spans="7:14" ht="13.5" thickBot="1">
      <c r="G26" s="11"/>
      <c r="H26" s="10"/>
      <c r="I26" s="12"/>
      <c r="K26" s="80" t="s">
        <v>26</v>
      </c>
      <c r="L26" s="81"/>
      <c r="M26" s="81"/>
      <c r="N26" s="82"/>
    </row>
    <row r="27" spans="7:14" ht="13.5" thickBot="1">
      <c r="G27" s="11" t="s">
        <v>16</v>
      </c>
      <c r="H27" s="3">
        <v>1.6</v>
      </c>
      <c r="I27" s="12" t="s">
        <v>17</v>
      </c>
      <c r="K27" s="4"/>
      <c r="L27" s="16" t="s">
        <v>20</v>
      </c>
      <c r="M27" s="16"/>
      <c r="N27" s="17" t="s">
        <v>41</v>
      </c>
    </row>
    <row r="28" spans="7:14" ht="13.5" thickBot="1">
      <c r="G28" s="11"/>
      <c r="H28" s="10"/>
      <c r="I28" s="12"/>
      <c r="K28" s="18" t="s">
        <v>21</v>
      </c>
      <c r="L28" s="20">
        <f>IF(Cg_a&lt;&gt;0,CalcInt!D34/1000,"---")</f>
        <v>999.3597243201945</v>
      </c>
      <c r="M28" s="20"/>
      <c r="N28" s="25">
        <f>CalcInt!H22/1000</f>
        <v>69.4561905124231</v>
      </c>
    </row>
    <row r="29" spans="7:14" ht="13.5" thickBot="1">
      <c r="G29" s="11" t="s">
        <v>18</v>
      </c>
      <c r="H29" s="33">
        <v>68000</v>
      </c>
      <c r="I29" s="12" t="s">
        <v>11</v>
      </c>
      <c r="K29" s="18" t="s">
        <v>22</v>
      </c>
      <c r="L29" s="20">
        <f>IF(Cg_a&lt;&gt;0,CalcInt!E34/1000,"---")</f>
        <v>837.7267664079244</v>
      </c>
      <c r="M29" s="20"/>
      <c r="N29" s="25">
        <f>CalcInt!I22/1000</f>
        <v>44.34778143741009</v>
      </c>
    </row>
    <row r="30" spans="7:14" ht="13.5" thickBot="1">
      <c r="G30" s="11"/>
      <c r="H30" s="10"/>
      <c r="I30" s="12"/>
      <c r="K30" s="19" t="s">
        <v>24</v>
      </c>
      <c r="L30" s="21">
        <f>IF(Cg_a&lt;&gt;0,CalcInt!F34/1000,"---")</f>
        <v>156.0477514768399</v>
      </c>
      <c r="M30" s="21"/>
      <c r="N30" s="26">
        <f>CalcInt!J22/1000</f>
        <v>38.53478651570348</v>
      </c>
    </row>
    <row r="31" spans="7:9" ht="13.5" thickBot="1">
      <c r="G31" s="11" t="s">
        <v>19</v>
      </c>
      <c r="H31" s="34">
        <v>1000000</v>
      </c>
      <c r="I31" s="12" t="s">
        <v>11</v>
      </c>
    </row>
    <row r="32" spans="7:14" ht="12.75">
      <c r="G32" s="13"/>
      <c r="H32" s="14"/>
      <c r="I32" s="15"/>
      <c r="K32" s="22" t="s">
        <v>42</v>
      </c>
      <c r="L32" s="23"/>
      <c r="M32" s="68"/>
      <c r="N32" s="22"/>
    </row>
    <row r="33" spans="11:14" ht="12.75">
      <c r="K33" s="22" t="s">
        <v>43</v>
      </c>
      <c r="L33" s="23"/>
      <c r="M33" s="68"/>
      <c r="N33" s="22"/>
    </row>
    <row r="35" spans="7:9" ht="12.75">
      <c r="G35" s="2" t="s">
        <v>55</v>
      </c>
      <c r="H35" s="32">
        <f>IF((mu*rak)&lt;&gt;0,1000*mu/rak,"---")</f>
        <v>1.6</v>
      </c>
      <c r="I35" t="s">
        <v>56</v>
      </c>
    </row>
  </sheetData>
  <mergeCells count="4">
    <mergeCell ref="K21:L21"/>
    <mergeCell ref="K26:N26"/>
    <mergeCell ref="B2:R2"/>
    <mergeCell ref="G24:I24"/>
  </mergeCells>
  <hyperlinks>
    <hyperlink ref="O21" location="GraphGain!A1" display="voir la courbe du gain"/>
    <hyperlink ref="O22" location="GraphZe!A1" display="voir la courbe d'impédance d'entrée"/>
    <hyperlink ref="O23" location="GraphZs!A1" display="voir la courbe d'impédance de sortie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8"/>
  <sheetViews>
    <sheetView workbookViewId="0" topLeftCell="A4">
      <selection activeCell="B16" sqref="B16"/>
    </sheetView>
  </sheetViews>
  <sheetFormatPr defaultColWidth="11.421875" defaultRowHeight="12.75"/>
  <cols>
    <col min="1" max="1" width="11.421875" style="2" customWidth="1"/>
    <col min="4" max="5" width="12.421875" style="0" bestFit="1" customWidth="1"/>
    <col min="8" max="8" width="12.421875" style="0" bestFit="1" customWidth="1"/>
    <col min="10" max="10" width="12.421875" style="0" bestFit="1" customWidth="1"/>
    <col min="11" max="11" width="21.421875" style="24" customWidth="1"/>
  </cols>
  <sheetData>
    <row r="5" ht="12.75">
      <c r="B5" t="s">
        <v>14</v>
      </c>
    </row>
    <row r="7" spans="4:10" ht="12.75">
      <c r="D7" s="61" t="s">
        <v>28</v>
      </c>
      <c r="E7" s="61"/>
      <c r="F7" s="61"/>
      <c r="H7" s="61" t="s">
        <v>44</v>
      </c>
      <c r="I7" s="61"/>
      <c r="J7" s="61"/>
    </row>
    <row r="8" spans="2:10" ht="12.75">
      <c r="B8">
        <f>1/(2*PI()*Rk*Ck/1000000)</f>
        <v>188.126410274108</v>
      </c>
      <c r="D8">
        <v>100</v>
      </c>
      <c r="E8">
        <v>1000</v>
      </c>
      <c r="F8">
        <v>10000</v>
      </c>
      <c r="G8">
        <v>15000</v>
      </c>
      <c r="H8">
        <v>100</v>
      </c>
      <c r="I8">
        <v>1000</v>
      </c>
      <c r="J8">
        <v>10000</v>
      </c>
    </row>
    <row r="9" spans="3:11" ht="12.75">
      <c r="C9" t="s">
        <v>29</v>
      </c>
      <c r="D9">
        <f aca="true" t="shared" si="0" ref="D9:J9">D8*2*PI()</f>
        <v>628.3185307179587</v>
      </c>
      <c r="E9">
        <f t="shared" si="0"/>
        <v>6283.185307179586</v>
      </c>
      <c r="F9">
        <f t="shared" si="0"/>
        <v>62831.853071795864</v>
      </c>
      <c r="G9">
        <f t="shared" si="0"/>
        <v>94247.7796076938</v>
      </c>
      <c r="H9">
        <f t="shared" si="0"/>
        <v>628.3185307179587</v>
      </c>
      <c r="I9">
        <f t="shared" si="0"/>
        <v>6283.185307179586</v>
      </c>
      <c r="J9">
        <f t="shared" si="0"/>
        <v>62831.853071795864</v>
      </c>
      <c r="K9" s="24" t="s">
        <v>29</v>
      </c>
    </row>
    <row r="10" spans="2:11" ht="12.75">
      <c r="B10">
        <f>(mu+1)*Rk</f>
        <v>181800</v>
      </c>
      <c r="C10" t="s">
        <v>31</v>
      </c>
      <c r="D10">
        <f>mu*Rch</f>
        <v>8947368.421052631</v>
      </c>
      <c r="E10">
        <f>mu*Rch</f>
        <v>8947368.421052631</v>
      </c>
      <c r="F10">
        <f>mu*Rch</f>
        <v>8947368.421052631</v>
      </c>
      <c r="G10">
        <f>mu*Rch</f>
        <v>8947368.421052631</v>
      </c>
      <c r="H10">
        <f>RA*rak*H9*Rk*Ck/1000000</f>
        <v>3322234231.1712065</v>
      </c>
      <c r="I10">
        <f>RA*rak*I9*Rk*Ck/1000000</f>
        <v>33222342311.71206</v>
      </c>
      <c r="J10">
        <f>RA*rak*J9*Rk*Ck/1000000</f>
        <v>332223423117.1206</v>
      </c>
      <c r="K10" s="24" t="s">
        <v>48</v>
      </c>
    </row>
    <row r="11" spans="2:11" ht="12.75">
      <c r="B11">
        <f>Rch+rak</f>
        <v>151973.6842105263</v>
      </c>
      <c r="D11">
        <f aca="true" t="shared" si="1" ref="D11:J11">D10*D10</f>
        <v>80055401662049.84</v>
      </c>
      <c r="E11">
        <f t="shared" si="1"/>
        <v>80055401662049.84</v>
      </c>
      <c r="F11">
        <f t="shared" si="1"/>
        <v>80055401662049.84</v>
      </c>
      <c r="G11">
        <f t="shared" si="1"/>
        <v>80055401662049.84</v>
      </c>
      <c r="H11">
        <f t="shared" si="1"/>
        <v>1.1037240286765738E+19</v>
      </c>
      <c r="I11">
        <f t="shared" si="1"/>
        <v>1.1037240286765734E+21</v>
      </c>
      <c r="J11">
        <f t="shared" si="1"/>
        <v>1.1037240286765735E+23</v>
      </c>
      <c r="K11" s="24" t="s">
        <v>49</v>
      </c>
    </row>
    <row r="12" spans="2:11" ht="12.75">
      <c r="B12">
        <f>1+B10/B11</f>
        <v>2.19625974025974</v>
      </c>
      <c r="D12">
        <f>D9*D9*D11*Rk*Rk*Ck*Ck/1000000000000</f>
        <v>22619922032578.29</v>
      </c>
      <c r="E12">
        <f>E9*E9*E11*Rk*Rk*Ck*Ck/1000000000000</f>
        <v>2261992203257827.5</v>
      </c>
      <c r="F12">
        <f>F9*F9*F11*Rk*Rk*Ck*Ck/1000000000000</f>
        <v>2.2619922032578282E+17</v>
      </c>
      <c r="G12">
        <f>G9*G9*G11*Rk*Rk*Ck*Ck/1000000000000</f>
        <v>5.089482457330113E+17</v>
      </c>
      <c r="H12">
        <f>H14*H14</f>
        <v>5.968249E+20</v>
      </c>
      <c r="I12">
        <f>I14*I14</f>
        <v>5.968249E+20</v>
      </c>
      <c r="J12">
        <f>J14*J14</f>
        <v>5.968249E+20</v>
      </c>
      <c r="K12" s="24" t="s">
        <v>50</v>
      </c>
    </row>
    <row r="13" spans="2:11" ht="12.75">
      <c r="B13">
        <f>B12*B12</f>
        <v>4.823556846685781</v>
      </c>
      <c r="C13" t="s">
        <v>30</v>
      </c>
      <c r="D13">
        <f>SQRT(D12+D11)</f>
        <v>10132883.286341954</v>
      </c>
      <c r="E13">
        <f>SQRT(E12+E11)</f>
        <v>48394706.372906916</v>
      </c>
      <c r="F13">
        <f>SQRT(F12+F11)</f>
        <v>475688212.72703916</v>
      </c>
      <c r="G13">
        <f>SQRT(G12+G11)</f>
        <v>713462193.2062507</v>
      </c>
      <c r="H13">
        <f>SQRT(H11+H12)</f>
        <v>24654860378.569695</v>
      </c>
      <c r="I13">
        <f>SQRT(I11+I12)</f>
        <v>41237712456.883125</v>
      </c>
      <c r="J13">
        <f>SQRT(J11+J12)</f>
        <v>333120440333.0083</v>
      </c>
      <c r="K13" s="24" t="s">
        <v>51</v>
      </c>
    </row>
    <row r="14" spans="2:11" ht="12.75">
      <c r="B14">
        <f>B13-2</f>
        <v>2.823556846685781</v>
      </c>
      <c r="H14">
        <f>RA*rak+(mu+1)*RA*Rk</f>
        <v>24430000000</v>
      </c>
      <c r="I14">
        <f>RA*rak+(mu+1)*RA*Rk</f>
        <v>24430000000</v>
      </c>
      <c r="J14">
        <f>RA*rak+(mu+1)*RA*Rk</f>
        <v>24430000000</v>
      </c>
      <c r="K14" s="24" t="s">
        <v>45</v>
      </c>
    </row>
    <row r="15" spans="1:11" ht="12.75">
      <c r="A15" s="2" t="s">
        <v>27</v>
      </c>
      <c r="B15">
        <f>IF(Ck&lt;&gt;0,SQRT(B14)*B8,"   SANS")</f>
        <v>316.1171344741563</v>
      </c>
      <c r="D15">
        <f>(Rch+rak)*D9*Rk*Ck/1000000</f>
        <v>80782.74814742616</v>
      </c>
      <c r="E15">
        <f>(Rch+rak)*E9*Rk*Ck/1000000</f>
        <v>807827.4814742616</v>
      </c>
      <c r="F15">
        <f>(Rch+rak)*F9*Rk*Ck/1000000</f>
        <v>8078274.814742615</v>
      </c>
      <c r="G15">
        <f>(Rch+rak)*G9*Rk*Ck/1000000</f>
        <v>12117412.222113924</v>
      </c>
      <c r="H15">
        <f>(RA+rak)*H9*Rk*Ck/1000000</f>
        <v>86378.09001045136</v>
      </c>
      <c r="I15">
        <f>(RA+rak)*I9*Rk*Ck/1000000</f>
        <v>863780.9001045135</v>
      </c>
      <c r="J15">
        <f>(RA+rak)*J9*Rk*Ck/1000000</f>
        <v>8637809.001045136</v>
      </c>
      <c r="K15" s="24" t="s">
        <v>52</v>
      </c>
    </row>
    <row r="16" spans="4:11" ht="12.75">
      <c r="D16">
        <f aca="true" t="shared" si="2" ref="D16:J16">D15*D15</f>
        <v>6525852398.250484</v>
      </c>
      <c r="E16">
        <f t="shared" si="2"/>
        <v>652585239825.0485</v>
      </c>
      <c r="F16">
        <f t="shared" si="2"/>
        <v>65258523982504.836</v>
      </c>
      <c r="G16">
        <f t="shared" si="2"/>
        <v>146831678960635.9</v>
      </c>
      <c r="H16">
        <f t="shared" si="2"/>
        <v>7461174433.853637</v>
      </c>
      <c r="I16">
        <f t="shared" si="2"/>
        <v>746117443385.3635</v>
      </c>
      <c r="J16">
        <f t="shared" si="2"/>
        <v>74611744338536.36</v>
      </c>
      <c r="K16" s="24" t="s">
        <v>53</v>
      </c>
    </row>
    <row r="17" spans="8:11" ht="12.75">
      <c r="H17">
        <f>RA+rak</f>
        <v>162500</v>
      </c>
      <c r="I17">
        <f>RA+rak</f>
        <v>162500</v>
      </c>
      <c r="J17">
        <f>RA+rak</f>
        <v>162500</v>
      </c>
      <c r="K17" s="24" t="s">
        <v>46</v>
      </c>
    </row>
    <row r="18" spans="8:11" ht="12.75">
      <c r="H18">
        <f>H17+(mu+1)*Rk</f>
        <v>344300</v>
      </c>
      <c r="I18">
        <f>I17+(mu+1)*Rk</f>
        <v>344300</v>
      </c>
      <c r="J18">
        <f>J17+(mu+1)*Rk</f>
        <v>344300</v>
      </c>
      <c r="K18" s="24" t="s">
        <v>47</v>
      </c>
    </row>
    <row r="19" spans="4:11" ht="12.75">
      <c r="D19">
        <f>Rch+rak+(mu+1)*Rk</f>
        <v>333773.6842105263</v>
      </c>
      <c r="E19">
        <f>Rch+rak+(mu+1)*Rk</f>
        <v>333773.6842105263</v>
      </c>
      <c r="F19">
        <f>Rch+rak+(mu+1)*Rk</f>
        <v>333773.6842105263</v>
      </c>
      <c r="G19">
        <f>Rch+rak+(mu+1)*Rk</f>
        <v>333773.6842105263</v>
      </c>
      <c r="H19">
        <f>H18*H18</f>
        <v>118542490000</v>
      </c>
      <c r="I19">
        <f>I18*I18</f>
        <v>118542490000</v>
      </c>
      <c r="J19">
        <f>J18*J18</f>
        <v>118542490000</v>
      </c>
      <c r="K19" s="24" t="s">
        <v>54</v>
      </c>
    </row>
    <row r="20" spans="4:10" ht="12.75">
      <c r="D20">
        <f>D19*D19</f>
        <v>111404872271.46812</v>
      </c>
      <c r="E20">
        <f>E19*E19</f>
        <v>111404872271.46812</v>
      </c>
      <c r="F20">
        <f>F19*F19</f>
        <v>111404872271.46812</v>
      </c>
      <c r="G20">
        <f>G19*G19</f>
        <v>111404872271.46812</v>
      </c>
      <c r="H20">
        <f>SQRT(H16+H19)</f>
        <v>354969.94863488607</v>
      </c>
      <c r="I20">
        <f>SQRT(I16+I19)</f>
        <v>929870.9229701526</v>
      </c>
      <c r="J20">
        <f>SQRT(J16+J19)</f>
        <v>8644668.11558063</v>
      </c>
    </row>
    <row r="21" spans="3:7" ht="12.75">
      <c r="C21" t="s">
        <v>32</v>
      </c>
      <c r="D21">
        <f>SQRT(D16+D20)</f>
        <v>343410.4318009554</v>
      </c>
      <c r="E21">
        <f>SQRT(E16+E20)</f>
        <v>874065.2790818982</v>
      </c>
      <c r="F21">
        <f>SQRT(F16+F20)</f>
        <v>8085167.21254275</v>
      </c>
      <c r="G21">
        <f>SQRT(G16+G20)</f>
        <v>12122008.24256886</v>
      </c>
    </row>
    <row r="22" spans="8:10" ht="12.75">
      <c r="H22">
        <f>H13/H20</f>
        <v>69456.19051242311</v>
      </c>
      <c r="I22">
        <f>I13/I20</f>
        <v>44347.78143741009</v>
      </c>
      <c r="J22">
        <f>J13/J20</f>
        <v>38534.78651570348</v>
      </c>
    </row>
    <row r="23" spans="3:7" ht="12.75">
      <c r="C23" t="s">
        <v>40</v>
      </c>
      <c r="D23">
        <f>1+D13/D21</f>
        <v>30.506626322333414</v>
      </c>
      <c r="E23">
        <f>1+E13/E21</f>
        <v>56.36738219797475</v>
      </c>
      <c r="F23">
        <f>1+F13/F21</f>
        <v>59.834678395901385</v>
      </c>
      <c r="G23">
        <f>1+G13/G21</f>
        <v>59.85676522647339</v>
      </c>
    </row>
    <row r="24" spans="3:7" ht="12.75">
      <c r="C24" t="s">
        <v>33</v>
      </c>
      <c r="D24">
        <f>Cg_a*0.000000000001*D23+Cg_k*0.000000000001</f>
        <v>5.34612647479668E-11</v>
      </c>
      <c r="E24">
        <f>Cg_a*0.000000000001*E23+Cg_k*0.000000000001</f>
        <v>9.742454973655706E-11</v>
      </c>
      <c r="F24">
        <f>Cg_a*0.000000000001*F23+Cg_k*0.000000000001</f>
        <v>1.0331895327303235E-10</v>
      </c>
      <c r="G24">
        <f>Cg_a*0.000000000001*G23+Cg_k*0.000000000001</f>
        <v>1.0335650088500475E-10</v>
      </c>
    </row>
    <row r="25" spans="3:7" ht="12.75">
      <c r="C25" t="s">
        <v>34</v>
      </c>
      <c r="D25">
        <f>D9*D24</f>
        <v>3.3590703316766295E-08</v>
      </c>
      <c r="E25">
        <f>E9*E24</f>
        <v>6.121364994633221E-07</v>
      </c>
      <c r="F25">
        <f>F9*F24</f>
        <v>6.491721291582911E-06</v>
      </c>
      <c r="G25">
        <f>G9*G24</f>
        <v>9.741120716432337E-06</v>
      </c>
    </row>
    <row r="26" spans="3:7" ht="12.75">
      <c r="C26" t="s">
        <v>35</v>
      </c>
      <c r="D26">
        <f>D25*D25</f>
        <v>1.128335349315014E-15</v>
      </c>
      <c r="E26">
        <f>E25*E25</f>
        <v>3.7471109397520977E-13</v>
      </c>
      <c r="F26">
        <f>F25*F25</f>
        <v>4.2142445327590896E-11</v>
      </c>
      <c r="G26">
        <f>G25*G25</f>
        <v>9.488943281210725E-11</v>
      </c>
    </row>
    <row r="27" spans="4:7" ht="12.75">
      <c r="D27">
        <f>Rgl*Rgl</f>
        <v>1000000000000</v>
      </c>
      <c r="E27">
        <f>Rgl*Rgl</f>
        <v>1000000000000</v>
      </c>
      <c r="F27">
        <f>Rgl*Rgl</f>
        <v>1000000000000</v>
      </c>
      <c r="G27">
        <f>Rgl*Rgl</f>
        <v>1000000000000</v>
      </c>
    </row>
    <row r="28" spans="4:7" ht="12.75">
      <c r="D28">
        <f>D27*Rgs*Rgs*D26</f>
        <v>5217422.655232625</v>
      </c>
      <c r="E28">
        <f>E27*Rgs*Rgs*E26</f>
        <v>1732664098.54137</v>
      </c>
      <c r="F28">
        <f>F27*Rgs*Rgs*F26</f>
        <v>194866667194.7803</v>
      </c>
      <c r="G28">
        <f>G27*Rgs*Rgs*G26</f>
        <v>438768737323.18396</v>
      </c>
    </row>
    <row r="29" spans="3:7" ht="12.75">
      <c r="C29" t="s">
        <v>39</v>
      </c>
      <c r="D29">
        <f>SQRT(D27+D28)</f>
        <v>1000002.608707925</v>
      </c>
      <c r="E29">
        <f>SQRT(E27+E28)</f>
        <v>1000865.9571084139</v>
      </c>
      <c r="F29">
        <f>SQRT(F27+F28)</f>
        <v>1093099.5687469556</v>
      </c>
      <c r="G29">
        <f>SQRT(G27+G28)</f>
        <v>1199486.8641728363</v>
      </c>
    </row>
    <row r="30" spans="4:7" ht="12.75">
      <c r="D30">
        <f>Rgl+Rgs</f>
        <v>1068000</v>
      </c>
      <c r="E30">
        <f>Rgl+Rgs</f>
        <v>1068000</v>
      </c>
      <c r="F30">
        <f>Rgl+Rgs</f>
        <v>1068000</v>
      </c>
      <c r="G30">
        <f>Rgl+Rgs</f>
        <v>1068000</v>
      </c>
    </row>
    <row r="31" spans="4:7" ht="12.75">
      <c r="D31">
        <f>D30*D30</f>
        <v>1140624000000</v>
      </c>
      <c r="E31">
        <f>E30*E30</f>
        <v>1140624000000</v>
      </c>
      <c r="F31">
        <f>F30*F30</f>
        <v>1140624000000</v>
      </c>
      <c r="G31">
        <f>G30*G30</f>
        <v>1140624000000</v>
      </c>
    </row>
    <row r="32" spans="4:7" ht="12.75">
      <c r="D32">
        <f>D26*D31</f>
        <v>0.0012870063794770887</v>
      </c>
      <c r="E32">
        <f>E26*E31</f>
        <v>0.42740446685437966</v>
      </c>
      <c r="F32">
        <f>F26*F31</f>
        <v>48.06868455933804</v>
      </c>
      <c r="G32">
        <f>G26*G31</f>
        <v>108.23316441187703</v>
      </c>
    </row>
    <row r="33" spans="3:7" ht="12.75">
      <c r="C33" t="s">
        <v>36</v>
      </c>
      <c r="D33">
        <f>SQRT(1+D32)</f>
        <v>1.00064329627469</v>
      </c>
      <c r="E33">
        <f>SQRT(1+E32)</f>
        <v>1.1947403344887875</v>
      </c>
      <c r="F33">
        <f>SQRT(1+F32)</f>
        <v>7.004904321926035</v>
      </c>
      <c r="G33">
        <f>SQRT(1+G32)</f>
        <v>10.4514670937566</v>
      </c>
    </row>
    <row r="34" spans="3:7" ht="12.75">
      <c r="C34" t="s">
        <v>37</v>
      </c>
      <c r="D34">
        <f>D29/D33</f>
        <v>999359.7243201945</v>
      </c>
      <c r="E34">
        <f>E29/E33</f>
        <v>837726.7664079244</v>
      </c>
      <c r="F34">
        <f>F29/F33</f>
        <v>156047.75147683988</v>
      </c>
      <c r="G34">
        <f>G29/G33</f>
        <v>114767.31959376064</v>
      </c>
    </row>
    <row r="36" spans="3:7" ht="12.75">
      <c r="C36" t="s">
        <v>38</v>
      </c>
      <c r="D36">
        <f>1/D25</f>
        <v>29770141.773151413</v>
      </c>
      <c r="E36">
        <f>1/E25</f>
        <v>1633622.567640925</v>
      </c>
      <c r="F36">
        <f>1/F25</f>
        <v>154042.34949158833</v>
      </c>
      <c r="G36">
        <f>1/G25</f>
        <v>102657.59239725834</v>
      </c>
    </row>
    <row r="38" ht="12.75">
      <c r="E38">
        <f>1/E25</f>
        <v>1633622.567640925</v>
      </c>
    </row>
  </sheetData>
  <sheetProtection sheet="1" objects="1" scenarios="1"/>
  <mergeCells count="2">
    <mergeCell ref="D7:F7"/>
    <mergeCell ref="H7:J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1"/>
  <sheetViews>
    <sheetView workbookViewId="0" topLeftCell="A1">
      <selection activeCell="B2" sqref="B2"/>
    </sheetView>
  </sheetViews>
  <sheetFormatPr defaultColWidth="11.421875" defaultRowHeight="12.75"/>
  <cols>
    <col min="2" max="2" width="11.57421875" style="0" bestFit="1" customWidth="1"/>
    <col min="4" max="4" width="15.00390625" style="0" bestFit="1" customWidth="1"/>
    <col min="5" max="5" width="15.00390625" style="27" bestFit="1" customWidth="1"/>
    <col min="6" max="6" width="15.00390625" style="0" bestFit="1" customWidth="1"/>
    <col min="7" max="14" width="14.421875" style="0" bestFit="1" customWidth="1"/>
  </cols>
  <sheetData>
    <row r="2" ht="12.75">
      <c r="B2" s="37" t="s">
        <v>61</v>
      </c>
    </row>
    <row r="3" ht="12.75">
      <c r="B3">
        <v>10</v>
      </c>
    </row>
    <row r="4" spans="2:35" s="39" customFormat="1" ht="12.75">
      <c r="B4" s="40">
        <v>13</v>
      </c>
      <c r="C4" s="39" t="s">
        <v>59</v>
      </c>
      <c r="D4" s="39">
        <v>10</v>
      </c>
      <c r="E4" s="39">
        <v>13</v>
      </c>
      <c r="F4" s="39">
        <v>18</v>
      </c>
      <c r="G4" s="39">
        <v>24</v>
      </c>
      <c r="H4" s="41">
        <v>32</v>
      </c>
      <c r="I4" s="41">
        <v>45</v>
      </c>
      <c r="J4" s="41">
        <v>56</v>
      </c>
      <c r="K4" s="41">
        <v>75</v>
      </c>
      <c r="L4" s="41">
        <v>100</v>
      </c>
      <c r="M4" s="41">
        <f>E4*10</f>
        <v>130</v>
      </c>
      <c r="N4" s="41">
        <f aca="true" t="shared" si="0" ref="N4:AE4">F4*10</f>
        <v>180</v>
      </c>
      <c r="O4" s="41">
        <f t="shared" si="0"/>
        <v>240</v>
      </c>
      <c r="P4" s="41">
        <f t="shared" si="0"/>
        <v>320</v>
      </c>
      <c r="Q4" s="41">
        <f t="shared" si="0"/>
        <v>450</v>
      </c>
      <c r="R4" s="41">
        <f t="shared" si="0"/>
        <v>560</v>
      </c>
      <c r="S4" s="41">
        <f t="shared" si="0"/>
        <v>750</v>
      </c>
      <c r="T4" s="41">
        <f t="shared" si="0"/>
        <v>1000</v>
      </c>
      <c r="U4" s="41">
        <f t="shared" si="0"/>
        <v>1300</v>
      </c>
      <c r="V4" s="41">
        <f t="shared" si="0"/>
        <v>1800</v>
      </c>
      <c r="W4" s="41">
        <f t="shared" si="0"/>
        <v>2400</v>
      </c>
      <c r="X4" s="41">
        <f t="shared" si="0"/>
        <v>3200</v>
      </c>
      <c r="Y4" s="41">
        <f t="shared" si="0"/>
        <v>4500</v>
      </c>
      <c r="Z4" s="41">
        <f t="shared" si="0"/>
        <v>5600</v>
      </c>
      <c r="AA4" s="41">
        <f t="shared" si="0"/>
        <v>7500</v>
      </c>
      <c r="AB4" s="41">
        <f t="shared" si="0"/>
        <v>10000</v>
      </c>
      <c r="AC4" s="41">
        <f t="shared" si="0"/>
        <v>13000</v>
      </c>
      <c r="AD4" s="41">
        <f t="shared" si="0"/>
        <v>18000</v>
      </c>
      <c r="AE4" s="41">
        <f t="shared" si="0"/>
        <v>24000</v>
      </c>
      <c r="AF4" s="41"/>
      <c r="AG4" s="41"/>
      <c r="AH4" s="41"/>
      <c r="AI4" s="41"/>
    </row>
    <row r="5" spans="2:31" ht="12.75">
      <c r="B5">
        <v>18</v>
      </c>
      <c r="D5">
        <f aca="true" t="shared" si="1" ref="D5:AE5">D4*2*PI()</f>
        <v>62.83185307179586</v>
      </c>
      <c r="E5">
        <f t="shared" si="1"/>
        <v>81.68140899333463</v>
      </c>
      <c r="F5">
        <f t="shared" si="1"/>
        <v>113.09733552923255</v>
      </c>
      <c r="G5">
        <f t="shared" si="1"/>
        <v>150.79644737231007</v>
      </c>
      <c r="H5">
        <f t="shared" si="1"/>
        <v>201.06192982974676</v>
      </c>
      <c r="I5">
        <f t="shared" si="1"/>
        <v>282.7433388230814</v>
      </c>
      <c r="J5">
        <f t="shared" si="1"/>
        <v>351.85837720205683</v>
      </c>
      <c r="K5">
        <f t="shared" si="1"/>
        <v>471.23889803846896</v>
      </c>
      <c r="L5">
        <f t="shared" si="1"/>
        <v>628.3185307179587</v>
      </c>
      <c r="M5">
        <f t="shared" si="1"/>
        <v>816.8140899333462</v>
      </c>
      <c r="N5">
        <f t="shared" si="1"/>
        <v>1130.9733552923256</v>
      </c>
      <c r="O5">
        <f t="shared" si="1"/>
        <v>1507.9644737231006</v>
      </c>
      <c r="P5">
        <f t="shared" si="1"/>
        <v>2010.6192982974676</v>
      </c>
      <c r="Q5">
        <f t="shared" si="1"/>
        <v>2827.4333882308138</v>
      </c>
      <c r="R5">
        <f t="shared" si="1"/>
        <v>3518.583772020568</v>
      </c>
      <c r="S5">
        <f t="shared" si="1"/>
        <v>4712.38898038469</v>
      </c>
      <c r="T5">
        <f t="shared" si="1"/>
        <v>6283.185307179586</v>
      </c>
      <c r="U5">
        <f t="shared" si="1"/>
        <v>8168.140899333462</v>
      </c>
      <c r="V5">
        <f t="shared" si="1"/>
        <v>11309.733552923255</v>
      </c>
      <c r="W5">
        <f t="shared" si="1"/>
        <v>15079.644737231007</v>
      </c>
      <c r="X5">
        <f t="shared" si="1"/>
        <v>20106.192982974677</v>
      </c>
      <c r="Y5">
        <f t="shared" si="1"/>
        <v>28274.33388230814</v>
      </c>
      <c r="Z5">
        <f t="shared" si="1"/>
        <v>35185.83772020568</v>
      </c>
      <c r="AA5">
        <f t="shared" si="1"/>
        <v>47123.8898038469</v>
      </c>
      <c r="AB5">
        <f t="shared" si="1"/>
        <v>62831.853071795864</v>
      </c>
      <c r="AC5">
        <f t="shared" si="1"/>
        <v>81681.40899333463</v>
      </c>
      <c r="AD5">
        <f t="shared" si="1"/>
        <v>113097.33552923256</v>
      </c>
      <c r="AE5">
        <f t="shared" si="1"/>
        <v>150796.44737231007</v>
      </c>
    </row>
    <row r="6" spans="2:31" ht="12.75">
      <c r="B6">
        <v>24</v>
      </c>
      <c r="D6">
        <f>mu*Rch</f>
        <v>8947368.421052631</v>
      </c>
      <c r="E6">
        <f>mu*Rch</f>
        <v>8947368.421052631</v>
      </c>
      <c r="F6">
        <f>mu*Rch</f>
        <v>8947368.421052631</v>
      </c>
      <c r="G6">
        <f>mu*Rch</f>
        <v>8947368.421052631</v>
      </c>
      <c r="H6">
        <f aca="true" t="shared" si="2" ref="H6:AE6">mu*Rch</f>
        <v>8947368.421052631</v>
      </c>
      <c r="I6">
        <f t="shared" si="2"/>
        <v>8947368.421052631</v>
      </c>
      <c r="J6">
        <f t="shared" si="2"/>
        <v>8947368.421052631</v>
      </c>
      <c r="K6">
        <f t="shared" si="2"/>
        <v>8947368.421052631</v>
      </c>
      <c r="L6">
        <f t="shared" si="2"/>
        <v>8947368.421052631</v>
      </c>
      <c r="M6">
        <f t="shared" si="2"/>
        <v>8947368.421052631</v>
      </c>
      <c r="N6">
        <f t="shared" si="2"/>
        <v>8947368.421052631</v>
      </c>
      <c r="O6">
        <f t="shared" si="2"/>
        <v>8947368.421052631</v>
      </c>
      <c r="P6">
        <f t="shared" si="2"/>
        <v>8947368.421052631</v>
      </c>
      <c r="Q6">
        <f t="shared" si="2"/>
        <v>8947368.421052631</v>
      </c>
      <c r="R6">
        <f t="shared" si="2"/>
        <v>8947368.421052631</v>
      </c>
      <c r="S6">
        <f t="shared" si="2"/>
        <v>8947368.421052631</v>
      </c>
      <c r="T6">
        <f t="shared" si="2"/>
        <v>8947368.421052631</v>
      </c>
      <c r="U6">
        <f t="shared" si="2"/>
        <v>8947368.421052631</v>
      </c>
      <c r="V6">
        <f t="shared" si="2"/>
        <v>8947368.421052631</v>
      </c>
      <c r="W6">
        <f t="shared" si="2"/>
        <v>8947368.421052631</v>
      </c>
      <c r="X6">
        <f t="shared" si="2"/>
        <v>8947368.421052631</v>
      </c>
      <c r="Y6">
        <f t="shared" si="2"/>
        <v>8947368.421052631</v>
      </c>
      <c r="Z6">
        <f t="shared" si="2"/>
        <v>8947368.421052631</v>
      </c>
      <c r="AA6">
        <f t="shared" si="2"/>
        <v>8947368.421052631</v>
      </c>
      <c r="AB6">
        <f t="shared" si="2"/>
        <v>8947368.421052631</v>
      </c>
      <c r="AC6">
        <f t="shared" si="2"/>
        <v>8947368.421052631</v>
      </c>
      <c r="AD6">
        <f t="shared" si="2"/>
        <v>8947368.421052631</v>
      </c>
      <c r="AE6">
        <f t="shared" si="2"/>
        <v>8947368.421052631</v>
      </c>
    </row>
    <row r="7" spans="2:31" ht="12.75">
      <c r="B7">
        <v>32</v>
      </c>
      <c r="D7">
        <f aca="true" t="shared" si="3" ref="D7:AE7">D6*D6</f>
        <v>80055401662049.84</v>
      </c>
      <c r="E7">
        <f t="shared" si="3"/>
        <v>80055401662049.84</v>
      </c>
      <c r="F7">
        <f t="shared" si="3"/>
        <v>80055401662049.84</v>
      </c>
      <c r="G7">
        <f t="shared" si="3"/>
        <v>80055401662049.84</v>
      </c>
      <c r="H7">
        <f t="shared" si="3"/>
        <v>80055401662049.84</v>
      </c>
      <c r="I7">
        <f t="shared" si="3"/>
        <v>80055401662049.84</v>
      </c>
      <c r="J7">
        <f t="shared" si="3"/>
        <v>80055401662049.84</v>
      </c>
      <c r="K7">
        <f t="shared" si="3"/>
        <v>80055401662049.84</v>
      </c>
      <c r="L7">
        <f t="shared" si="3"/>
        <v>80055401662049.84</v>
      </c>
      <c r="M7">
        <f t="shared" si="3"/>
        <v>80055401662049.84</v>
      </c>
      <c r="N7">
        <f t="shared" si="3"/>
        <v>80055401662049.84</v>
      </c>
      <c r="O7">
        <f t="shared" si="3"/>
        <v>80055401662049.84</v>
      </c>
      <c r="P7">
        <f t="shared" si="3"/>
        <v>80055401662049.84</v>
      </c>
      <c r="Q7">
        <f t="shared" si="3"/>
        <v>80055401662049.84</v>
      </c>
      <c r="R7">
        <f t="shared" si="3"/>
        <v>80055401662049.84</v>
      </c>
      <c r="S7">
        <f t="shared" si="3"/>
        <v>80055401662049.84</v>
      </c>
      <c r="T7">
        <f t="shared" si="3"/>
        <v>80055401662049.84</v>
      </c>
      <c r="U7">
        <f t="shared" si="3"/>
        <v>80055401662049.84</v>
      </c>
      <c r="V7">
        <f t="shared" si="3"/>
        <v>80055401662049.84</v>
      </c>
      <c r="W7">
        <f t="shared" si="3"/>
        <v>80055401662049.84</v>
      </c>
      <c r="X7">
        <f t="shared" si="3"/>
        <v>80055401662049.84</v>
      </c>
      <c r="Y7">
        <f t="shared" si="3"/>
        <v>80055401662049.84</v>
      </c>
      <c r="Z7">
        <f t="shared" si="3"/>
        <v>80055401662049.84</v>
      </c>
      <c r="AA7">
        <f t="shared" si="3"/>
        <v>80055401662049.84</v>
      </c>
      <c r="AB7">
        <f t="shared" si="3"/>
        <v>80055401662049.84</v>
      </c>
      <c r="AC7">
        <f t="shared" si="3"/>
        <v>80055401662049.84</v>
      </c>
      <c r="AD7">
        <f t="shared" si="3"/>
        <v>80055401662049.84</v>
      </c>
      <c r="AE7">
        <f t="shared" si="3"/>
        <v>80055401662049.84</v>
      </c>
    </row>
    <row r="8" spans="2:31" ht="12.75">
      <c r="B8">
        <v>45</v>
      </c>
      <c r="D8">
        <f>D5*D5*D7*Rk*Rk*Ck*Ck/1000000000000</f>
        <v>226199220325.78284</v>
      </c>
      <c r="E8">
        <f>E5*E5*E7*Rk*Rk*Ck*Ck/1000000000000</f>
        <v>382276682350.573</v>
      </c>
      <c r="F8">
        <f>F5*F5*F7*Rk*Rk*Ck*Ck/1000000000000</f>
        <v>732885473855.5363</v>
      </c>
      <c r="G8">
        <f>G5*G5*G7*Rk*Rk*Ck*Ck/1000000000000</f>
        <v>1302907509076.5088</v>
      </c>
      <c r="H8">
        <f aca="true" t="shared" si="4" ref="H8:AE8">H5*H5*H7*Rk*Rk*Ck*Ck/1000000000000</f>
        <v>2316280016136.016</v>
      </c>
      <c r="I8">
        <f t="shared" si="4"/>
        <v>4580534211597.101</v>
      </c>
      <c r="J8">
        <f t="shared" si="4"/>
        <v>7093607549416.55</v>
      </c>
      <c r="K8">
        <f t="shared" si="4"/>
        <v>12723706143325.281</v>
      </c>
      <c r="L8">
        <f t="shared" si="4"/>
        <v>22619922032578.29</v>
      </c>
      <c r="M8">
        <f t="shared" si="4"/>
        <v>38227668235057.3</v>
      </c>
      <c r="N8">
        <f t="shared" si="4"/>
        <v>73288547385553.61</v>
      </c>
      <c r="O8">
        <f t="shared" si="4"/>
        <v>130290750907650.88</v>
      </c>
      <c r="P8">
        <f t="shared" si="4"/>
        <v>231628001613601.62</v>
      </c>
      <c r="Q8">
        <f t="shared" si="4"/>
        <v>458053421159710.2</v>
      </c>
      <c r="R8">
        <f t="shared" si="4"/>
        <v>709360754941654.6</v>
      </c>
      <c r="S8">
        <f t="shared" si="4"/>
        <v>1272370614332528.2</v>
      </c>
      <c r="T8">
        <f t="shared" si="4"/>
        <v>2261992203257827.5</v>
      </c>
      <c r="U8">
        <f t="shared" si="4"/>
        <v>3822766823505729.5</v>
      </c>
      <c r="V8">
        <f t="shared" si="4"/>
        <v>7328854738555363</v>
      </c>
      <c r="W8">
        <f t="shared" si="4"/>
        <v>13029075090765088</v>
      </c>
      <c r="X8">
        <f t="shared" si="4"/>
        <v>23162800161360170</v>
      </c>
      <c r="Y8">
        <f t="shared" si="4"/>
        <v>45805342115971020</v>
      </c>
      <c r="Z8">
        <f t="shared" si="4"/>
        <v>70936075494165470</v>
      </c>
      <c r="AA8">
        <f t="shared" si="4"/>
        <v>1.2723706143325283E+17</v>
      </c>
      <c r="AB8">
        <f t="shared" si="4"/>
        <v>2.2619922032578282E+17</v>
      </c>
      <c r="AC8">
        <f t="shared" si="4"/>
        <v>3.82276682350573E+17</v>
      </c>
      <c r="AD8">
        <f t="shared" si="4"/>
        <v>7.328854738555364E+17</v>
      </c>
      <c r="AE8">
        <f t="shared" si="4"/>
        <v>1.302907509076509E+18</v>
      </c>
    </row>
    <row r="9" spans="2:31" ht="12.75">
      <c r="B9">
        <v>56</v>
      </c>
      <c r="D9">
        <f>SQRT(D8+D7)</f>
        <v>8960000.049239712</v>
      </c>
      <c r="E9">
        <f>SQRT(E8+E7)</f>
        <v>8968705.499925863</v>
      </c>
      <c r="F9">
        <f>SQRT(F8+F7)</f>
        <v>8988230.478570594</v>
      </c>
      <c r="G9">
        <f>SQRT(G8+G7)</f>
        <v>9019884.099650415</v>
      </c>
      <c r="H9">
        <f aca="true" t="shared" si="5" ref="H9:AE9">SQRT(H8+H7)</f>
        <v>9075884.622348715</v>
      </c>
      <c r="I9">
        <f t="shared" si="5"/>
        <v>9199779.12091627</v>
      </c>
      <c r="J9">
        <f t="shared" si="5"/>
        <v>9335363.367939482</v>
      </c>
      <c r="K9">
        <f t="shared" si="5"/>
        <v>9632191.225540278</v>
      </c>
      <c r="L9">
        <f t="shared" si="5"/>
        <v>10132883.286341954</v>
      </c>
      <c r="M9">
        <f t="shared" si="5"/>
        <v>10875802.034659658</v>
      </c>
      <c r="N9">
        <f t="shared" si="5"/>
        <v>12383212.388051957</v>
      </c>
      <c r="O9">
        <f t="shared" si="5"/>
        <v>14503315.22686109</v>
      </c>
      <c r="P9">
        <f t="shared" si="5"/>
        <v>17654557.578020796</v>
      </c>
      <c r="Q9">
        <f t="shared" si="5"/>
        <v>23197172.733369038</v>
      </c>
      <c r="R9">
        <f t="shared" si="5"/>
        <v>28096550.617534965</v>
      </c>
      <c r="S9">
        <f t="shared" si="5"/>
        <v>36775345.21924408</v>
      </c>
      <c r="T9">
        <f t="shared" si="5"/>
        <v>48394706.372906916</v>
      </c>
      <c r="U9">
        <f t="shared" si="5"/>
        <v>62472571.782885484</v>
      </c>
      <c r="V9">
        <f t="shared" si="5"/>
        <v>86075026.22838643</v>
      </c>
      <c r="W9">
        <f t="shared" si="5"/>
        <v>114495111.21627481</v>
      </c>
      <c r="X9">
        <f t="shared" si="5"/>
        <v>152456077.48798412</v>
      </c>
      <c r="Y9">
        <f t="shared" si="5"/>
        <v>214208770.8699928</v>
      </c>
      <c r="Z9">
        <f t="shared" si="5"/>
        <v>266488519.25707328</v>
      </c>
      <c r="AA9">
        <f t="shared" si="5"/>
        <v>356815241.87584096</v>
      </c>
      <c r="AB9">
        <f t="shared" si="5"/>
        <v>475688212.72703916</v>
      </c>
      <c r="AC9">
        <f t="shared" si="5"/>
        <v>618350012.3330112</v>
      </c>
      <c r="AD9">
        <f t="shared" si="5"/>
        <v>856134060.3300388</v>
      </c>
      <c r="AE9">
        <f t="shared" si="5"/>
        <v>1141484806.9414551</v>
      </c>
    </row>
    <row r="10" spans="2:5" ht="12.75">
      <c r="B10">
        <v>75</v>
      </c>
      <c r="E10"/>
    </row>
    <row r="11" spans="2:31" ht="12.75">
      <c r="B11">
        <v>100</v>
      </c>
      <c r="D11">
        <f>(Rch+rak)*D5*Rk*Ck/1000000</f>
        <v>8078.274814742615</v>
      </c>
      <c r="E11">
        <f>(Rch+rak)*E5*Rk*Ck/1000000</f>
        <v>10501.757259165399</v>
      </c>
      <c r="F11">
        <f>(Rch+rak)*F5*Rk*Ck/1000000</f>
        <v>14540.894666536708</v>
      </c>
      <c r="G11">
        <f>(Rch+rak)*G5*Rk*Ck/1000000</f>
        <v>19387.859555382274</v>
      </c>
      <c r="H11">
        <f aca="true" t="shared" si="6" ref="H11:AE11">(Rch+rak)*H5*Rk*Ck/1000000</f>
        <v>25850.479407176368</v>
      </c>
      <c r="I11">
        <f t="shared" si="6"/>
        <v>36352.23666634177</v>
      </c>
      <c r="J11">
        <f t="shared" si="6"/>
        <v>45238.33896255864</v>
      </c>
      <c r="K11">
        <f t="shared" si="6"/>
        <v>60587.061110569615</v>
      </c>
      <c r="L11">
        <f t="shared" si="6"/>
        <v>80782.74814742616</v>
      </c>
      <c r="M11">
        <f t="shared" si="6"/>
        <v>105017.572591654</v>
      </c>
      <c r="N11">
        <f t="shared" si="6"/>
        <v>145408.94666536708</v>
      </c>
      <c r="O11">
        <f t="shared" si="6"/>
        <v>193878.59555382276</v>
      </c>
      <c r="P11">
        <f t="shared" si="6"/>
        <v>258504.79407176367</v>
      </c>
      <c r="Q11">
        <f t="shared" si="6"/>
        <v>363522.36666341766</v>
      </c>
      <c r="R11">
        <f t="shared" si="6"/>
        <v>452383.3896255865</v>
      </c>
      <c r="S11">
        <f t="shared" si="6"/>
        <v>605870.6111056962</v>
      </c>
      <c r="T11">
        <f t="shared" si="6"/>
        <v>807827.4814742616</v>
      </c>
      <c r="U11">
        <f t="shared" si="6"/>
        <v>1050175.72591654</v>
      </c>
      <c r="V11">
        <f t="shared" si="6"/>
        <v>1454089.4666536706</v>
      </c>
      <c r="W11">
        <f t="shared" si="6"/>
        <v>1938785.9555382277</v>
      </c>
      <c r="X11">
        <f t="shared" si="6"/>
        <v>2585047.940717637</v>
      </c>
      <c r="Y11">
        <f t="shared" si="6"/>
        <v>3635223.666634177</v>
      </c>
      <c r="Z11">
        <f t="shared" si="6"/>
        <v>4523833.896255864</v>
      </c>
      <c r="AA11">
        <f t="shared" si="6"/>
        <v>6058706.111056962</v>
      </c>
      <c r="AB11">
        <f t="shared" si="6"/>
        <v>8078274.814742615</v>
      </c>
      <c r="AC11">
        <f t="shared" si="6"/>
        <v>10501757.2591654</v>
      </c>
      <c r="AD11">
        <f t="shared" si="6"/>
        <v>14540894.666536707</v>
      </c>
      <c r="AE11">
        <f t="shared" si="6"/>
        <v>19387859.555382278</v>
      </c>
    </row>
    <row r="12" spans="4:31" ht="12.75">
      <c r="D12">
        <f aca="true" t="shared" si="7" ref="D12:AE12">D11*D11</f>
        <v>65258523.98250482</v>
      </c>
      <c r="E12">
        <f t="shared" si="7"/>
        <v>110286905.53043315</v>
      </c>
      <c r="F12">
        <f t="shared" si="7"/>
        <v>211437617.70331568</v>
      </c>
      <c r="G12">
        <f t="shared" si="7"/>
        <v>375889098.13922775</v>
      </c>
      <c r="H12">
        <f t="shared" si="7"/>
        <v>668247285.5808495</v>
      </c>
      <c r="I12">
        <f t="shared" si="7"/>
        <v>1321485110.645723</v>
      </c>
      <c r="J12">
        <f t="shared" si="7"/>
        <v>2046507312.0913513</v>
      </c>
      <c r="K12">
        <f t="shared" si="7"/>
        <v>3670791974.0158973</v>
      </c>
      <c r="L12">
        <f t="shared" si="7"/>
        <v>6525852398.250484</v>
      </c>
      <c r="M12">
        <f t="shared" si="7"/>
        <v>11028690553.043316</v>
      </c>
      <c r="N12">
        <f t="shared" si="7"/>
        <v>21143761770.33157</v>
      </c>
      <c r="O12">
        <f t="shared" si="7"/>
        <v>37588909813.92278</v>
      </c>
      <c r="P12">
        <f t="shared" si="7"/>
        <v>66824728558.08494</v>
      </c>
      <c r="Q12">
        <f t="shared" si="7"/>
        <v>132148511064.57227</v>
      </c>
      <c r="R12">
        <f t="shared" si="7"/>
        <v>204650731209.13522</v>
      </c>
      <c r="S12">
        <f t="shared" si="7"/>
        <v>367079197401.5897</v>
      </c>
      <c r="T12">
        <f t="shared" si="7"/>
        <v>652585239825.0485</v>
      </c>
      <c r="U12">
        <f t="shared" si="7"/>
        <v>1102869055304.3318</v>
      </c>
      <c r="V12">
        <f t="shared" si="7"/>
        <v>2114376177033.1562</v>
      </c>
      <c r="W12">
        <f t="shared" si="7"/>
        <v>3758890981392.279</v>
      </c>
      <c r="X12">
        <f t="shared" si="7"/>
        <v>6682472855808.496</v>
      </c>
      <c r="Y12">
        <f t="shared" si="7"/>
        <v>13214851106457.229</v>
      </c>
      <c r="Z12">
        <f t="shared" si="7"/>
        <v>20465073120913.508</v>
      </c>
      <c r="AA12">
        <f t="shared" si="7"/>
        <v>36707919740158.98</v>
      </c>
      <c r="AB12">
        <f t="shared" si="7"/>
        <v>65258523982504.836</v>
      </c>
      <c r="AC12">
        <f t="shared" si="7"/>
        <v>110286905530433.19</v>
      </c>
      <c r="AD12">
        <f t="shared" si="7"/>
        <v>211437617703315.66</v>
      </c>
      <c r="AE12">
        <f t="shared" si="7"/>
        <v>375889098139227.9</v>
      </c>
    </row>
    <row r="13" ht="12.75">
      <c r="E13"/>
    </row>
    <row r="14" ht="12.75">
      <c r="E14"/>
    </row>
    <row r="15" spans="4:31" ht="12.75">
      <c r="D15">
        <f>Rch+rak+(mu+1)*Rk</f>
        <v>333773.6842105263</v>
      </c>
      <c r="E15">
        <f>Rch+rak+(mu+1)*Rk</f>
        <v>333773.6842105263</v>
      </c>
      <c r="F15">
        <f>Rch+rak+(mu+1)*Rk</f>
        <v>333773.6842105263</v>
      </c>
      <c r="G15">
        <f>Rch+rak+(mu+1)*Rk</f>
        <v>333773.6842105263</v>
      </c>
      <c r="H15">
        <f aca="true" t="shared" si="8" ref="H15:AE15">Rch+rak+(mu+1)*Rk</f>
        <v>333773.6842105263</v>
      </c>
      <c r="I15">
        <f t="shared" si="8"/>
        <v>333773.6842105263</v>
      </c>
      <c r="J15">
        <f t="shared" si="8"/>
        <v>333773.6842105263</v>
      </c>
      <c r="K15">
        <f t="shared" si="8"/>
        <v>333773.6842105263</v>
      </c>
      <c r="L15">
        <f t="shared" si="8"/>
        <v>333773.6842105263</v>
      </c>
      <c r="M15">
        <f t="shared" si="8"/>
        <v>333773.6842105263</v>
      </c>
      <c r="N15">
        <f t="shared" si="8"/>
        <v>333773.6842105263</v>
      </c>
      <c r="O15">
        <f t="shared" si="8"/>
        <v>333773.6842105263</v>
      </c>
      <c r="P15">
        <f t="shared" si="8"/>
        <v>333773.6842105263</v>
      </c>
      <c r="Q15">
        <f t="shared" si="8"/>
        <v>333773.6842105263</v>
      </c>
      <c r="R15">
        <f t="shared" si="8"/>
        <v>333773.6842105263</v>
      </c>
      <c r="S15">
        <f t="shared" si="8"/>
        <v>333773.6842105263</v>
      </c>
      <c r="T15">
        <f t="shared" si="8"/>
        <v>333773.6842105263</v>
      </c>
      <c r="U15">
        <f t="shared" si="8"/>
        <v>333773.6842105263</v>
      </c>
      <c r="V15">
        <f t="shared" si="8"/>
        <v>333773.6842105263</v>
      </c>
      <c r="W15">
        <f t="shared" si="8"/>
        <v>333773.6842105263</v>
      </c>
      <c r="X15">
        <f t="shared" si="8"/>
        <v>333773.6842105263</v>
      </c>
      <c r="Y15">
        <f t="shared" si="8"/>
        <v>333773.6842105263</v>
      </c>
      <c r="Z15">
        <f t="shared" si="8"/>
        <v>333773.6842105263</v>
      </c>
      <c r="AA15">
        <f t="shared" si="8"/>
        <v>333773.6842105263</v>
      </c>
      <c r="AB15">
        <f t="shared" si="8"/>
        <v>333773.6842105263</v>
      </c>
      <c r="AC15">
        <f t="shared" si="8"/>
        <v>333773.6842105263</v>
      </c>
      <c r="AD15">
        <f t="shared" si="8"/>
        <v>333773.6842105263</v>
      </c>
      <c r="AE15">
        <f t="shared" si="8"/>
        <v>333773.6842105263</v>
      </c>
    </row>
    <row r="16" spans="4:31" ht="12.75">
      <c r="D16">
        <f>D15*D15</f>
        <v>111404872271.46812</v>
      </c>
      <c r="E16">
        <f>E15*E15</f>
        <v>111404872271.46812</v>
      </c>
      <c r="F16">
        <f>F15*F15</f>
        <v>111404872271.46812</v>
      </c>
      <c r="G16">
        <f>G15*G15</f>
        <v>111404872271.46812</v>
      </c>
      <c r="H16">
        <f aca="true" t="shared" si="9" ref="H16:AE16">H15*H15</f>
        <v>111404872271.46812</v>
      </c>
      <c r="I16">
        <f t="shared" si="9"/>
        <v>111404872271.46812</v>
      </c>
      <c r="J16">
        <f t="shared" si="9"/>
        <v>111404872271.46812</v>
      </c>
      <c r="K16">
        <f t="shared" si="9"/>
        <v>111404872271.46812</v>
      </c>
      <c r="L16">
        <f t="shared" si="9"/>
        <v>111404872271.46812</v>
      </c>
      <c r="M16">
        <f t="shared" si="9"/>
        <v>111404872271.46812</v>
      </c>
      <c r="N16">
        <f t="shared" si="9"/>
        <v>111404872271.46812</v>
      </c>
      <c r="O16">
        <f t="shared" si="9"/>
        <v>111404872271.46812</v>
      </c>
      <c r="P16">
        <f t="shared" si="9"/>
        <v>111404872271.46812</v>
      </c>
      <c r="Q16">
        <f t="shared" si="9"/>
        <v>111404872271.46812</v>
      </c>
      <c r="R16">
        <f t="shared" si="9"/>
        <v>111404872271.46812</v>
      </c>
      <c r="S16">
        <f t="shared" si="9"/>
        <v>111404872271.46812</v>
      </c>
      <c r="T16">
        <f t="shared" si="9"/>
        <v>111404872271.46812</v>
      </c>
      <c r="U16">
        <f t="shared" si="9"/>
        <v>111404872271.46812</v>
      </c>
      <c r="V16">
        <f t="shared" si="9"/>
        <v>111404872271.46812</v>
      </c>
      <c r="W16">
        <f t="shared" si="9"/>
        <v>111404872271.46812</v>
      </c>
      <c r="X16">
        <f t="shared" si="9"/>
        <v>111404872271.46812</v>
      </c>
      <c r="Y16">
        <f t="shared" si="9"/>
        <v>111404872271.46812</v>
      </c>
      <c r="Z16">
        <f t="shared" si="9"/>
        <v>111404872271.46812</v>
      </c>
      <c r="AA16">
        <f t="shared" si="9"/>
        <v>111404872271.46812</v>
      </c>
      <c r="AB16">
        <f t="shared" si="9"/>
        <v>111404872271.46812</v>
      </c>
      <c r="AC16">
        <f t="shared" si="9"/>
        <v>111404872271.46812</v>
      </c>
      <c r="AD16">
        <f t="shared" si="9"/>
        <v>111404872271.46812</v>
      </c>
      <c r="AE16">
        <f t="shared" si="9"/>
        <v>111404872271.46812</v>
      </c>
    </row>
    <row r="17" spans="4:31" ht="12.75">
      <c r="D17">
        <f>SQRT(D12+D16)</f>
        <v>333871.4285401652</v>
      </c>
      <c r="E17">
        <f>SQRT(E12+E16)</f>
        <v>333938.85544662</v>
      </c>
      <c r="F17">
        <f>SQRT(F12+F16)</f>
        <v>334090.27206605615</v>
      </c>
      <c r="G17">
        <f>SQRT(G12+G16)</f>
        <v>334336.2998084524</v>
      </c>
      <c r="H17">
        <f aca="true" t="shared" si="10" ref="H17:AE17">SQRT(H12+H16)</f>
        <v>334773.23602260824</v>
      </c>
      <c r="I17">
        <f t="shared" si="10"/>
        <v>335747.4607232553</v>
      </c>
      <c r="J17">
        <f t="shared" si="10"/>
        <v>336825.4437888555</v>
      </c>
      <c r="K17">
        <f t="shared" si="10"/>
        <v>339228.04165558604</v>
      </c>
      <c r="L17">
        <f t="shared" si="10"/>
        <v>343410.4318009554</v>
      </c>
      <c r="M17">
        <f t="shared" si="10"/>
        <v>349905.0768773032</v>
      </c>
      <c r="N17">
        <f t="shared" si="10"/>
        <v>364072.29232914676</v>
      </c>
      <c r="O17">
        <f t="shared" si="10"/>
        <v>385997.1270429236</v>
      </c>
      <c r="P17">
        <f t="shared" si="10"/>
        <v>422172.4775841659</v>
      </c>
      <c r="Q17">
        <f t="shared" si="10"/>
        <v>493511.27984681405</v>
      </c>
      <c r="R17">
        <f t="shared" si="10"/>
        <v>562188.2278032895</v>
      </c>
      <c r="S17">
        <f t="shared" si="10"/>
        <v>691725.4293959836</v>
      </c>
      <c r="T17">
        <f t="shared" si="10"/>
        <v>874065.2790818982</v>
      </c>
      <c r="U17">
        <f t="shared" si="10"/>
        <v>1101940.9818932228</v>
      </c>
      <c r="V17">
        <f t="shared" si="10"/>
        <v>1491905.174367535</v>
      </c>
      <c r="W17">
        <f t="shared" si="10"/>
        <v>1967306.7512881022</v>
      </c>
      <c r="X17">
        <f t="shared" si="10"/>
        <v>2606506.805684567</v>
      </c>
      <c r="Y17">
        <f t="shared" si="10"/>
        <v>3650514.4813750153</v>
      </c>
      <c r="Z17">
        <f t="shared" si="10"/>
        <v>4536130.288382927</v>
      </c>
      <c r="AA17">
        <f t="shared" si="10"/>
        <v>6067892.930204887</v>
      </c>
      <c r="AB17">
        <f t="shared" si="10"/>
        <v>8085167.21254275</v>
      </c>
      <c r="AC17">
        <f t="shared" si="10"/>
        <v>10507060.026606143</v>
      </c>
      <c r="AD17">
        <f t="shared" si="10"/>
        <v>14544724.905462706</v>
      </c>
      <c r="AE17">
        <f t="shared" si="10"/>
        <v>19390732.400079664</v>
      </c>
    </row>
    <row r="18" ht="12.75">
      <c r="E18"/>
    </row>
    <row r="19" spans="4:31" ht="12.75">
      <c r="D19">
        <f>1+D9/D17</f>
        <v>27.836678084185966</v>
      </c>
      <c r="E19">
        <f>1+E9/E17</f>
        <v>27.857328381061986</v>
      </c>
      <c r="F19">
        <f>1+F9/F17</f>
        <v>27.903598308882952</v>
      </c>
      <c r="G19">
        <f>1+G9/G17</f>
        <v>27.978476775683877</v>
      </c>
      <c r="H19">
        <f aca="true" t="shared" si="11" ref="H19:AE19">1+H9/H17</f>
        <v>28.11054423041092</v>
      </c>
      <c r="I19">
        <f t="shared" si="11"/>
        <v>28.400889648125503</v>
      </c>
      <c r="J19">
        <f t="shared" si="11"/>
        <v>28.71573092260662</v>
      </c>
      <c r="K19">
        <f t="shared" si="11"/>
        <v>29.394442801753165</v>
      </c>
      <c r="L19">
        <f t="shared" si="11"/>
        <v>30.506626322333414</v>
      </c>
      <c r="M19">
        <f t="shared" si="11"/>
        <v>32.08214985538303</v>
      </c>
      <c r="N19">
        <f t="shared" si="11"/>
        <v>35.01305907909264</v>
      </c>
      <c r="O19">
        <f t="shared" si="11"/>
        <v>38.573635166585824</v>
      </c>
      <c r="P19">
        <f t="shared" si="11"/>
        <v>42.8183527240975</v>
      </c>
      <c r="Q19">
        <f t="shared" si="11"/>
        <v>48.00434150273007</v>
      </c>
      <c r="R19">
        <f t="shared" si="11"/>
        <v>50.97712372477139</v>
      </c>
      <c r="S19">
        <f t="shared" si="11"/>
        <v>54.16465703936373</v>
      </c>
      <c r="T19">
        <f t="shared" si="11"/>
        <v>56.36738219797475</v>
      </c>
      <c r="U19">
        <f t="shared" si="11"/>
        <v>57.69321026208918</v>
      </c>
      <c r="V19">
        <f t="shared" si="11"/>
        <v>58.694703193771225</v>
      </c>
      <c r="W19">
        <f t="shared" si="11"/>
        <v>59.19891134989938</v>
      </c>
      <c r="X19">
        <f t="shared" si="11"/>
        <v>59.49057334340756</v>
      </c>
      <c r="Y19">
        <f t="shared" si="11"/>
        <v>59.679063447875485</v>
      </c>
      <c r="Z19">
        <f t="shared" si="11"/>
        <v>59.7479861280777</v>
      </c>
      <c r="AA19">
        <f t="shared" si="11"/>
        <v>59.80381311602887</v>
      </c>
      <c r="AB19">
        <f t="shared" si="11"/>
        <v>59.834678395901385</v>
      </c>
      <c r="AC19">
        <f t="shared" si="11"/>
        <v>59.850906987036865</v>
      </c>
      <c r="AD19">
        <f t="shared" si="11"/>
        <v>59.862169335942</v>
      </c>
      <c r="AE19">
        <f t="shared" si="11"/>
        <v>59.867544731666015</v>
      </c>
    </row>
    <row r="20" spans="4:31" ht="12.75">
      <c r="D20">
        <f>Cg_a*0.000000000001*D19+Cg_k*0.000000000001</f>
        <v>4.892235274311614E-11</v>
      </c>
      <c r="E20">
        <f>Cg_a*0.000000000001*E19+Cg_k*0.000000000001</f>
        <v>4.895745824780537E-11</v>
      </c>
      <c r="F20">
        <f>Cg_a*0.000000000001*F19+Cg_k*0.000000000001</f>
        <v>4.903611712510101E-11</v>
      </c>
      <c r="G20">
        <f>Cg_a*0.000000000001*G19+Cg_k*0.000000000001</f>
        <v>4.9163410518662586E-11</v>
      </c>
      <c r="H20">
        <f aca="true" t="shared" si="12" ref="H20:AE20">Cg_a*0.000000000001*H19+Cg_k*0.000000000001</f>
        <v>4.938792519169856E-11</v>
      </c>
      <c r="I20">
        <f t="shared" si="12"/>
        <v>4.988151240181335E-11</v>
      </c>
      <c r="J20">
        <f t="shared" si="12"/>
        <v>5.041674256843125E-11</v>
      </c>
      <c r="K20">
        <f t="shared" si="12"/>
        <v>5.157055276298038E-11</v>
      </c>
      <c r="L20">
        <f t="shared" si="12"/>
        <v>5.34612647479668E-11</v>
      </c>
      <c r="M20">
        <f t="shared" si="12"/>
        <v>5.6139654754151143E-11</v>
      </c>
      <c r="N20">
        <f t="shared" si="12"/>
        <v>6.112220043445748E-11</v>
      </c>
      <c r="O20">
        <f t="shared" si="12"/>
        <v>6.717517978319589E-11</v>
      </c>
      <c r="P20">
        <f t="shared" si="12"/>
        <v>7.439119963096575E-11</v>
      </c>
      <c r="Q20">
        <f t="shared" si="12"/>
        <v>8.320738055464111E-11</v>
      </c>
      <c r="R20">
        <f t="shared" si="12"/>
        <v>8.826111033211136E-11</v>
      </c>
      <c r="S20">
        <f t="shared" si="12"/>
        <v>9.367991696691834E-11</v>
      </c>
      <c r="T20">
        <f t="shared" si="12"/>
        <v>9.742454973655706E-11</v>
      </c>
      <c r="U20">
        <f t="shared" si="12"/>
        <v>9.96784574455516E-11</v>
      </c>
      <c r="V20">
        <f t="shared" si="12"/>
        <v>1.0138099542941107E-10</v>
      </c>
      <c r="W20">
        <f t="shared" si="12"/>
        <v>1.0223814929482895E-10</v>
      </c>
      <c r="X20">
        <f t="shared" si="12"/>
        <v>1.0273397468379284E-10</v>
      </c>
      <c r="Y20">
        <f t="shared" si="12"/>
        <v>1.0305440786138832E-10</v>
      </c>
      <c r="Z20">
        <f t="shared" si="12"/>
        <v>1.0317157641773207E-10</v>
      </c>
      <c r="AA20">
        <f t="shared" si="12"/>
        <v>1.0326648229724907E-10</v>
      </c>
      <c r="AB20">
        <f t="shared" si="12"/>
        <v>1.0331895327303235E-10</v>
      </c>
      <c r="AC20">
        <f t="shared" si="12"/>
        <v>1.0334654187796266E-10</v>
      </c>
      <c r="AD20">
        <f t="shared" si="12"/>
        <v>1.0336568787110138E-10</v>
      </c>
      <c r="AE20">
        <f t="shared" si="12"/>
        <v>1.0337482604383222E-10</v>
      </c>
    </row>
    <row r="21" spans="4:31" ht="12.75">
      <c r="D21">
        <f>D5*D20</f>
        <v>3.0738820794820426E-09</v>
      </c>
      <c r="E21">
        <f>E5*E20</f>
        <v>3.998914170413094E-09</v>
      </c>
      <c r="F21">
        <f>F5*F20</f>
        <v>5.545854191548296E-09</v>
      </c>
      <c r="G21">
        <f>G5*G20</f>
        <v>7.413667646920778E-09</v>
      </c>
      <c r="H21">
        <f aca="true" t="shared" si="13" ref="H21:AE21">H5*H20</f>
        <v>9.930031549330078E-09</v>
      </c>
      <c r="I21">
        <f t="shared" si="13"/>
        <v>1.4103665362033648E-08</v>
      </c>
      <c r="J21">
        <f t="shared" si="13"/>
        <v>1.773955322394208E-08</v>
      </c>
      <c r="K21">
        <f t="shared" si="13"/>
        <v>2.4302050455261595E-08</v>
      </c>
      <c r="L21">
        <f t="shared" si="13"/>
        <v>3.3590703316766295E-08</v>
      </c>
      <c r="M21">
        <f t="shared" si="13"/>
        <v>4.5855661007184214E-08</v>
      </c>
      <c r="N21">
        <f t="shared" si="13"/>
        <v>6.912758010820841E-08</v>
      </c>
      <c r="O21">
        <f t="shared" si="13"/>
        <v>1.0129778462902166E-07</v>
      </c>
      <c r="P21">
        <f t="shared" si="13"/>
        <v>1.495723816015192E-07</v>
      </c>
      <c r="Q21">
        <f t="shared" si="13"/>
        <v>2.3526332592741962E-07</v>
      </c>
      <c r="R21">
        <f t="shared" si="13"/>
        <v>3.1055411051508393E-07</v>
      </c>
      <c r="S21">
        <f t="shared" si="13"/>
        <v>4.414562083982587E-07</v>
      </c>
      <c r="T21">
        <f t="shared" si="13"/>
        <v>6.121364994633221E-07</v>
      </c>
      <c r="U21">
        <f t="shared" si="13"/>
        <v>8.141876850434801E-07</v>
      </c>
      <c r="V21">
        <f t="shared" si="13"/>
        <v>1.1465920456367695E-06</v>
      </c>
      <c r="W21">
        <f t="shared" si="13"/>
        <v>1.5417149699580053E-06</v>
      </c>
      <c r="X21">
        <f t="shared" si="13"/>
        <v>2.0655891209003737E-06</v>
      </c>
      <c r="Y21">
        <f t="shared" si="13"/>
        <v>2.913794735916454E-06</v>
      </c>
      <c r="Z21">
        <f t="shared" si="13"/>
        <v>3.63017834517212E-06</v>
      </c>
      <c r="AA21">
        <f t="shared" si="13"/>
        <v>4.866318332206471E-06</v>
      </c>
      <c r="AB21">
        <f t="shared" si="13"/>
        <v>6.491721291582911E-06</v>
      </c>
      <c r="AC21">
        <f t="shared" si="13"/>
        <v>8.441491155180653E-06</v>
      </c>
      <c r="AD21">
        <f t="shared" si="13"/>
        <v>1.1690383883367877E-05</v>
      </c>
      <c r="AE21">
        <f t="shared" si="13"/>
        <v>1.5588556515140453E-05</v>
      </c>
    </row>
    <row r="22" spans="4:31" ht="12.75">
      <c r="D22">
        <f>D21*D21</f>
        <v>9.448751038560845E-18</v>
      </c>
      <c r="E22">
        <f>E21*E21</f>
        <v>1.5991314542330648E-17</v>
      </c>
      <c r="F22">
        <f>F21*F21</f>
        <v>3.07564987139138E-17</v>
      </c>
      <c r="G22">
        <f>G21*G21</f>
        <v>5.496246797899987E-17</v>
      </c>
      <c r="H22">
        <f aca="true" t="shared" si="14" ref="H22:AE22">H21*H21</f>
        <v>9.86055265706907E-17</v>
      </c>
      <c r="I22">
        <f t="shared" si="14"/>
        <v>1.989133766442277E-16</v>
      </c>
      <c r="J22">
        <f t="shared" si="14"/>
        <v>3.146917485850738E-16</v>
      </c>
      <c r="K22">
        <f t="shared" si="14"/>
        <v>5.905896563300803E-16</v>
      </c>
      <c r="L22">
        <f t="shared" si="14"/>
        <v>1.128335349315014E-15</v>
      </c>
      <c r="M22">
        <f t="shared" si="14"/>
        <v>2.1027416464057947E-15</v>
      </c>
      <c r="N22">
        <f t="shared" si="14"/>
        <v>4.778622331616771E-15</v>
      </c>
      <c r="O22">
        <f t="shared" si="14"/>
        <v>1.0261241170747656E-14</v>
      </c>
      <c r="P22">
        <f t="shared" si="14"/>
        <v>2.237189733795048E-14</v>
      </c>
      <c r="Q22">
        <f t="shared" si="14"/>
        <v>5.5348832526431275E-14</v>
      </c>
      <c r="R22">
        <f t="shared" si="14"/>
        <v>9.644385555781497E-14</v>
      </c>
      <c r="S22">
        <f t="shared" si="14"/>
        <v>1.948835839333668E-13</v>
      </c>
      <c r="T22">
        <f t="shared" si="14"/>
        <v>3.7471109397520977E-13</v>
      </c>
      <c r="U22">
        <f t="shared" si="14"/>
        <v>6.629015864764612E-13</v>
      </c>
      <c r="V22">
        <f t="shared" si="14"/>
        <v>1.3146733191175117E-12</v>
      </c>
      <c r="W22">
        <f t="shared" si="14"/>
        <v>2.376885048592613E-12</v>
      </c>
      <c r="X22">
        <f t="shared" si="14"/>
        <v>4.266658416381979E-12</v>
      </c>
      <c r="Y22">
        <f t="shared" si="14"/>
        <v>8.490199763054439E-12</v>
      </c>
      <c r="Z22">
        <f t="shared" si="14"/>
        <v>1.3178194817756593E-11</v>
      </c>
      <c r="AA22">
        <f t="shared" si="14"/>
        <v>2.3681054110368774E-11</v>
      </c>
      <c r="AB22">
        <f t="shared" si="14"/>
        <v>4.2142445327590896E-11</v>
      </c>
      <c r="AC22">
        <f t="shared" si="14"/>
        <v>7.12587729229932E-11</v>
      </c>
      <c r="AD22">
        <f t="shared" si="14"/>
        <v>1.3666507534050739E-10</v>
      </c>
      <c r="AE22">
        <f t="shared" si="14"/>
        <v>2.4300309422572785E-10</v>
      </c>
    </row>
    <row r="23" spans="4:31" ht="12.75">
      <c r="D23">
        <f>Rgl*Rgl</f>
        <v>1000000000000</v>
      </c>
      <c r="E23">
        <f>Rgl*Rgl</f>
        <v>1000000000000</v>
      </c>
      <c r="F23">
        <f>Rgl*Rgl</f>
        <v>1000000000000</v>
      </c>
      <c r="G23">
        <f>Rgl*Rgl</f>
        <v>1000000000000</v>
      </c>
      <c r="H23">
        <f aca="true" t="shared" si="15" ref="H23:AE23">Rgl*Rgl</f>
        <v>1000000000000</v>
      </c>
      <c r="I23">
        <f t="shared" si="15"/>
        <v>1000000000000</v>
      </c>
      <c r="J23">
        <f t="shared" si="15"/>
        <v>1000000000000</v>
      </c>
      <c r="K23">
        <f t="shared" si="15"/>
        <v>1000000000000</v>
      </c>
      <c r="L23">
        <f t="shared" si="15"/>
        <v>1000000000000</v>
      </c>
      <c r="M23">
        <f t="shared" si="15"/>
        <v>1000000000000</v>
      </c>
      <c r="N23">
        <f t="shared" si="15"/>
        <v>1000000000000</v>
      </c>
      <c r="O23">
        <f t="shared" si="15"/>
        <v>1000000000000</v>
      </c>
      <c r="P23">
        <f t="shared" si="15"/>
        <v>1000000000000</v>
      </c>
      <c r="Q23">
        <f t="shared" si="15"/>
        <v>1000000000000</v>
      </c>
      <c r="R23">
        <f t="shared" si="15"/>
        <v>1000000000000</v>
      </c>
      <c r="S23">
        <f t="shared" si="15"/>
        <v>1000000000000</v>
      </c>
      <c r="T23">
        <f t="shared" si="15"/>
        <v>1000000000000</v>
      </c>
      <c r="U23">
        <f t="shared" si="15"/>
        <v>1000000000000</v>
      </c>
      <c r="V23">
        <f t="shared" si="15"/>
        <v>1000000000000</v>
      </c>
      <c r="W23">
        <f t="shared" si="15"/>
        <v>1000000000000</v>
      </c>
      <c r="X23">
        <f t="shared" si="15"/>
        <v>1000000000000</v>
      </c>
      <c r="Y23">
        <f t="shared" si="15"/>
        <v>1000000000000</v>
      </c>
      <c r="Z23">
        <f t="shared" si="15"/>
        <v>1000000000000</v>
      </c>
      <c r="AA23">
        <f t="shared" si="15"/>
        <v>1000000000000</v>
      </c>
      <c r="AB23">
        <f t="shared" si="15"/>
        <v>1000000000000</v>
      </c>
      <c r="AC23">
        <f t="shared" si="15"/>
        <v>1000000000000</v>
      </c>
      <c r="AD23">
        <f t="shared" si="15"/>
        <v>1000000000000</v>
      </c>
      <c r="AE23">
        <f t="shared" si="15"/>
        <v>1000000000000</v>
      </c>
    </row>
    <row r="24" spans="4:31" ht="12.75">
      <c r="D24">
        <f>D23*Rgs*Rgs*D22</f>
        <v>43691.02480230535</v>
      </c>
      <c r="E24">
        <f>E23*Rgs*Rgs*E22</f>
        <v>73943.83844373691</v>
      </c>
      <c r="F24">
        <f>F23*Rgs*Rgs*F22</f>
        <v>142218.0500531374</v>
      </c>
      <c r="G24">
        <f>G23*Rgs*Rgs*G22</f>
        <v>254146.4519348954</v>
      </c>
      <c r="H24">
        <f aca="true" t="shared" si="16" ref="H24:AE24">H23*Rgs*Rgs*H22</f>
        <v>455951.95486287377</v>
      </c>
      <c r="I24">
        <f t="shared" si="16"/>
        <v>919775.4536029089</v>
      </c>
      <c r="J24">
        <f t="shared" si="16"/>
        <v>1455134.6454573814</v>
      </c>
      <c r="K24">
        <f t="shared" si="16"/>
        <v>2730886.5708702914</v>
      </c>
      <c r="L24">
        <f t="shared" si="16"/>
        <v>5217422.655232625</v>
      </c>
      <c r="M24">
        <f t="shared" si="16"/>
        <v>9723077.372980395</v>
      </c>
      <c r="N24">
        <f t="shared" si="16"/>
        <v>22096349.66139595</v>
      </c>
      <c r="O24">
        <f t="shared" si="16"/>
        <v>47447979.173537165</v>
      </c>
      <c r="P24">
        <f t="shared" si="16"/>
        <v>103447653.29068302</v>
      </c>
      <c r="Q24">
        <f t="shared" si="16"/>
        <v>255933001.6022182</v>
      </c>
      <c r="R24">
        <f t="shared" si="16"/>
        <v>445956388.0993364</v>
      </c>
      <c r="S24">
        <f t="shared" si="16"/>
        <v>901141692.1078881</v>
      </c>
      <c r="T24">
        <f t="shared" si="16"/>
        <v>1732664098.54137</v>
      </c>
      <c r="U24">
        <f t="shared" si="16"/>
        <v>3065256935.8671565</v>
      </c>
      <c r="V24">
        <f t="shared" si="16"/>
        <v>6079049427.599374</v>
      </c>
      <c r="W24">
        <f t="shared" si="16"/>
        <v>10990716464.692244</v>
      </c>
      <c r="X24">
        <f t="shared" si="16"/>
        <v>19729028517.35027</v>
      </c>
      <c r="Y24">
        <f t="shared" si="16"/>
        <v>39258683704.36372</v>
      </c>
      <c r="Z24">
        <f t="shared" si="16"/>
        <v>60935972837.30649</v>
      </c>
      <c r="AA24">
        <f t="shared" si="16"/>
        <v>109501194206.34521</v>
      </c>
      <c r="AB24">
        <f t="shared" si="16"/>
        <v>194866667194.7803</v>
      </c>
      <c r="AC24">
        <f t="shared" si="16"/>
        <v>329500565995.92053</v>
      </c>
      <c r="AD24">
        <f t="shared" si="16"/>
        <v>631939308374.5061</v>
      </c>
      <c r="AE24">
        <f t="shared" si="16"/>
        <v>1123646307699.7656</v>
      </c>
    </row>
    <row r="25" spans="4:31" ht="12.75">
      <c r="D25">
        <f>SQRT(D23+D24)</f>
        <v>1000000.0218455122</v>
      </c>
      <c r="E25">
        <f>SQRT(E23+E24)</f>
        <v>1000000.0369719185</v>
      </c>
      <c r="F25">
        <f>SQRT(F23+F24)</f>
        <v>1000000.0711090225</v>
      </c>
      <c r="G25">
        <f>SQRT(G23+G24)</f>
        <v>1000000.1270732179</v>
      </c>
      <c r="H25">
        <f aca="true" t="shared" si="17" ref="H25:AE25">SQRT(H23+H24)</f>
        <v>1000000.2279759514</v>
      </c>
      <c r="I25">
        <f t="shared" si="17"/>
        <v>1000000.4598876211</v>
      </c>
      <c r="J25">
        <f t="shared" si="17"/>
        <v>1000000.727567058</v>
      </c>
      <c r="K25">
        <f t="shared" si="17"/>
        <v>1000001.3654423533</v>
      </c>
      <c r="L25">
        <f t="shared" si="17"/>
        <v>1000002.608707925</v>
      </c>
      <c r="M25">
        <f t="shared" si="17"/>
        <v>1000004.8615268692</v>
      </c>
      <c r="N25">
        <f t="shared" si="17"/>
        <v>1000011.0481138002</v>
      </c>
      <c r="O25">
        <f t="shared" si="17"/>
        <v>1000023.7237081797</v>
      </c>
      <c r="P25">
        <f t="shared" si="17"/>
        <v>1000051.7224890374</v>
      </c>
      <c r="Q25">
        <f t="shared" si="17"/>
        <v>1000127.958314136</v>
      </c>
      <c r="R25">
        <f t="shared" si="17"/>
        <v>1000222.9533399538</v>
      </c>
      <c r="S25">
        <f t="shared" si="17"/>
        <v>1000450.4693847207</v>
      </c>
      <c r="T25">
        <f t="shared" si="17"/>
        <v>1000865.9571084139</v>
      </c>
      <c r="U25">
        <f t="shared" si="17"/>
        <v>1001531.455789516</v>
      </c>
      <c r="V25">
        <f t="shared" si="17"/>
        <v>1003034.9193460811</v>
      </c>
      <c r="W25">
        <f t="shared" si="17"/>
        <v>1005480.3411627163</v>
      </c>
      <c r="X25">
        <f t="shared" si="17"/>
        <v>1009816.3340515691</v>
      </c>
      <c r="Y25">
        <f t="shared" si="17"/>
        <v>1019440.377709439</v>
      </c>
      <c r="Z25">
        <f t="shared" si="17"/>
        <v>1030017.462394355</v>
      </c>
      <c r="AA25">
        <f t="shared" si="17"/>
        <v>1053328.6259313116</v>
      </c>
      <c r="AB25">
        <f t="shared" si="17"/>
        <v>1093099.5687469556</v>
      </c>
      <c r="AC25">
        <f t="shared" si="17"/>
        <v>1153039.7070335092</v>
      </c>
      <c r="AD25">
        <f t="shared" si="17"/>
        <v>1277473.7994865123</v>
      </c>
      <c r="AE25">
        <f t="shared" si="17"/>
        <v>1457273.5871138836</v>
      </c>
    </row>
    <row r="26" spans="4:31" ht="12.75">
      <c r="D26">
        <f>Rgl+Rgs</f>
        <v>1068000</v>
      </c>
      <c r="E26">
        <f>Rgl+Rgs</f>
        <v>1068000</v>
      </c>
      <c r="F26">
        <f>Rgl+Rgs</f>
        <v>1068000</v>
      </c>
      <c r="G26">
        <f>Rgl+Rgs</f>
        <v>1068000</v>
      </c>
      <c r="H26">
        <f aca="true" t="shared" si="18" ref="H26:AE26">Rgl+Rgs</f>
        <v>1068000</v>
      </c>
      <c r="I26">
        <f t="shared" si="18"/>
        <v>1068000</v>
      </c>
      <c r="J26">
        <f t="shared" si="18"/>
        <v>1068000</v>
      </c>
      <c r="K26">
        <f t="shared" si="18"/>
        <v>1068000</v>
      </c>
      <c r="L26">
        <f t="shared" si="18"/>
        <v>1068000</v>
      </c>
      <c r="M26">
        <f t="shared" si="18"/>
        <v>1068000</v>
      </c>
      <c r="N26">
        <f t="shared" si="18"/>
        <v>1068000</v>
      </c>
      <c r="O26">
        <f t="shared" si="18"/>
        <v>1068000</v>
      </c>
      <c r="P26">
        <f t="shared" si="18"/>
        <v>1068000</v>
      </c>
      <c r="Q26">
        <f t="shared" si="18"/>
        <v>1068000</v>
      </c>
      <c r="R26">
        <f t="shared" si="18"/>
        <v>1068000</v>
      </c>
      <c r="S26">
        <f t="shared" si="18"/>
        <v>1068000</v>
      </c>
      <c r="T26">
        <f t="shared" si="18"/>
        <v>1068000</v>
      </c>
      <c r="U26">
        <f t="shared" si="18"/>
        <v>1068000</v>
      </c>
      <c r="V26">
        <f t="shared" si="18"/>
        <v>1068000</v>
      </c>
      <c r="W26">
        <f t="shared" si="18"/>
        <v>1068000</v>
      </c>
      <c r="X26">
        <f t="shared" si="18"/>
        <v>1068000</v>
      </c>
      <c r="Y26">
        <f t="shared" si="18"/>
        <v>1068000</v>
      </c>
      <c r="Z26">
        <f t="shared" si="18"/>
        <v>1068000</v>
      </c>
      <c r="AA26">
        <f t="shared" si="18"/>
        <v>1068000</v>
      </c>
      <c r="AB26">
        <f t="shared" si="18"/>
        <v>1068000</v>
      </c>
      <c r="AC26">
        <f t="shared" si="18"/>
        <v>1068000</v>
      </c>
      <c r="AD26">
        <f t="shared" si="18"/>
        <v>1068000</v>
      </c>
      <c r="AE26">
        <f t="shared" si="18"/>
        <v>1068000</v>
      </c>
    </row>
    <row r="27" spans="4:31" ht="12.75">
      <c r="D27">
        <f>D26*D26</f>
        <v>1140624000000</v>
      </c>
      <c r="E27">
        <f>E26*E26</f>
        <v>1140624000000</v>
      </c>
      <c r="F27">
        <f>F26*F26</f>
        <v>1140624000000</v>
      </c>
      <c r="G27">
        <f>G26*G26</f>
        <v>1140624000000</v>
      </c>
      <c r="H27">
        <f aca="true" t="shared" si="19" ref="H27:AE27">H26*H26</f>
        <v>1140624000000</v>
      </c>
      <c r="I27">
        <f t="shared" si="19"/>
        <v>1140624000000</v>
      </c>
      <c r="J27">
        <f t="shared" si="19"/>
        <v>1140624000000</v>
      </c>
      <c r="K27">
        <f t="shared" si="19"/>
        <v>1140624000000</v>
      </c>
      <c r="L27">
        <f t="shared" si="19"/>
        <v>1140624000000</v>
      </c>
      <c r="M27">
        <f t="shared" si="19"/>
        <v>1140624000000</v>
      </c>
      <c r="N27">
        <f t="shared" si="19"/>
        <v>1140624000000</v>
      </c>
      <c r="O27">
        <f t="shared" si="19"/>
        <v>1140624000000</v>
      </c>
      <c r="P27">
        <f t="shared" si="19"/>
        <v>1140624000000</v>
      </c>
      <c r="Q27">
        <f t="shared" si="19"/>
        <v>1140624000000</v>
      </c>
      <c r="R27">
        <f t="shared" si="19"/>
        <v>1140624000000</v>
      </c>
      <c r="S27">
        <f t="shared" si="19"/>
        <v>1140624000000</v>
      </c>
      <c r="T27">
        <f t="shared" si="19"/>
        <v>1140624000000</v>
      </c>
      <c r="U27">
        <f t="shared" si="19"/>
        <v>1140624000000</v>
      </c>
      <c r="V27">
        <f t="shared" si="19"/>
        <v>1140624000000</v>
      </c>
      <c r="W27">
        <f t="shared" si="19"/>
        <v>1140624000000</v>
      </c>
      <c r="X27">
        <f t="shared" si="19"/>
        <v>1140624000000</v>
      </c>
      <c r="Y27">
        <f t="shared" si="19"/>
        <v>1140624000000</v>
      </c>
      <c r="Z27">
        <f t="shared" si="19"/>
        <v>1140624000000</v>
      </c>
      <c r="AA27">
        <f t="shared" si="19"/>
        <v>1140624000000</v>
      </c>
      <c r="AB27">
        <f t="shared" si="19"/>
        <v>1140624000000</v>
      </c>
      <c r="AC27">
        <f t="shared" si="19"/>
        <v>1140624000000</v>
      </c>
      <c r="AD27">
        <f t="shared" si="19"/>
        <v>1140624000000</v>
      </c>
      <c r="AE27">
        <f t="shared" si="19"/>
        <v>1140624000000</v>
      </c>
    </row>
    <row r="28" spans="4:31" ht="12.75">
      <c r="D28">
        <f>D22*D27</f>
        <v>1.0777472204607425E-05</v>
      </c>
      <c r="E28">
        <f>E22*E27</f>
        <v>1.8240077158531353E-05</v>
      </c>
      <c r="F28">
        <f>F22*F27</f>
        <v>3.508160058905922E-05</v>
      </c>
      <c r="G28">
        <f>G22*G27</f>
        <v>6.269151007607875E-05</v>
      </c>
      <c r="H28">
        <f aca="true" t="shared" si="20" ref="H28:AE28">H22*H27</f>
        <v>0.0001124718301391675</v>
      </c>
      <c r="I28">
        <f t="shared" si="20"/>
        <v>0.0002268853713214456</v>
      </c>
      <c r="J28">
        <f t="shared" si="20"/>
        <v>0.00035894496103810124</v>
      </c>
      <c r="K28">
        <f t="shared" si="20"/>
        <v>0.0006736407361618415</v>
      </c>
      <c r="L28">
        <f t="shared" si="20"/>
        <v>0.0012870063794770887</v>
      </c>
      <c r="M28">
        <f t="shared" si="20"/>
        <v>0.0023984375876899633</v>
      </c>
      <c r="N28">
        <f t="shared" si="20"/>
        <v>0.005450611318378048</v>
      </c>
      <c r="O28">
        <f t="shared" si="20"/>
        <v>0.011704217949142875</v>
      </c>
      <c r="P28">
        <f t="shared" si="20"/>
        <v>0.025517923029202427</v>
      </c>
      <c r="Q28">
        <f t="shared" si="20"/>
        <v>0.06313220675162814</v>
      </c>
      <c r="R28">
        <f t="shared" si="20"/>
        <v>0.11000617630177714</v>
      </c>
      <c r="S28">
        <f t="shared" si="20"/>
        <v>0.22228889304041258</v>
      </c>
      <c r="T28">
        <f t="shared" si="20"/>
        <v>0.42740446685437966</v>
      </c>
      <c r="U28">
        <f t="shared" si="20"/>
        <v>0.756121459173127</v>
      </c>
      <c r="V28">
        <f t="shared" si="20"/>
        <v>1.4995479399450926</v>
      </c>
      <c r="W28">
        <f t="shared" si="20"/>
        <v>2.711132131665901</v>
      </c>
      <c r="X28">
        <f t="shared" si="20"/>
        <v>4.866652989527278</v>
      </c>
      <c r="Y28">
        <f t="shared" si="20"/>
        <v>9.684125614534207</v>
      </c>
      <c r="Z28">
        <f t="shared" si="20"/>
        <v>15.031365285808796</v>
      </c>
      <c r="AA28">
        <f t="shared" si="20"/>
        <v>27.011178663585273</v>
      </c>
      <c r="AB28">
        <f t="shared" si="20"/>
        <v>48.06868455933804</v>
      </c>
      <c r="AC28">
        <f t="shared" si="20"/>
        <v>81.2794666065162</v>
      </c>
      <c r="AD28">
        <f t="shared" si="20"/>
        <v>155.88346489519088</v>
      </c>
      <c r="AE28">
        <f t="shared" si="20"/>
        <v>277.1751613481266</v>
      </c>
    </row>
    <row r="29" spans="4:31" ht="12.75">
      <c r="D29">
        <f>SQRT(1+D28)</f>
        <v>1.0000053887215832</v>
      </c>
      <c r="E29">
        <f>SQRT(1+E28)</f>
        <v>1.000009119996992</v>
      </c>
      <c r="F29">
        <f>SQRT(1+F28)</f>
        <v>1.0000175406464573</v>
      </c>
      <c r="G29">
        <f>SQRT(1+G28)</f>
        <v>1.0000313452637752</v>
      </c>
      <c r="H29">
        <f aca="true" t="shared" si="21" ref="H29:AE29">SQRT(1+H28)</f>
        <v>1.0000562343339194</v>
      </c>
      <c r="I29">
        <f t="shared" si="21"/>
        <v>1.0001134362517692</v>
      </c>
      <c r="J29">
        <f t="shared" si="21"/>
        <v>1.0001794563782231</v>
      </c>
      <c r="K29">
        <f t="shared" si="21"/>
        <v>1.0003367636631986</v>
      </c>
      <c r="L29">
        <f t="shared" si="21"/>
        <v>1.00064329627469</v>
      </c>
      <c r="M29">
        <f t="shared" si="21"/>
        <v>1.0011985005920105</v>
      </c>
      <c r="N29">
        <f t="shared" si="21"/>
        <v>1.0027216021001932</v>
      </c>
      <c r="O29">
        <f t="shared" si="21"/>
        <v>1.0058350848668696</v>
      </c>
      <c r="P29">
        <f t="shared" si="21"/>
        <v>1.012678588215038</v>
      </c>
      <c r="Q29">
        <f t="shared" si="21"/>
        <v>1.031083026119443</v>
      </c>
      <c r="R29">
        <f t="shared" si="21"/>
        <v>1.0535683064243044</v>
      </c>
      <c r="S29">
        <f t="shared" si="21"/>
        <v>1.1055717493859964</v>
      </c>
      <c r="T29">
        <f t="shared" si="21"/>
        <v>1.1947403344887875</v>
      </c>
      <c r="U29">
        <f t="shared" si="21"/>
        <v>1.3251873298417574</v>
      </c>
      <c r="V29">
        <f t="shared" si="21"/>
        <v>1.5809958696799598</v>
      </c>
      <c r="W29">
        <f t="shared" si="21"/>
        <v>1.9264298927461392</v>
      </c>
      <c r="X29">
        <f t="shared" si="21"/>
        <v>2.422117459894808</v>
      </c>
      <c r="Y29">
        <f t="shared" si="21"/>
        <v>3.268658075500435</v>
      </c>
      <c r="Z29">
        <f t="shared" si="21"/>
        <v>4.003918741159565</v>
      </c>
      <c r="AA29">
        <f t="shared" si="21"/>
        <v>5.292558801145744</v>
      </c>
      <c r="AB29">
        <f t="shared" si="21"/>
        <v>7.004904321926035</v>
      </c>
      <c r="AC29">
        <f t="shared" si="21"/>
        <v>9.070802974738024</v>
      </c>
      <c r="AD29">
        <f t="shared" si="21"/>
        <v>12.525312965957813</v>
      </c>
      <c r="AE29">
        <f t="shared" si="21"/>
        <v>16.678583913154217</v>
      </c>
    </row>
    <row r="30" spans="3:31" s="22" customFormat="1" ht="12.75">
      <c r="C30" s="22" t="s">
        <v>28</v>
      </c>
      <c r="D30" s="22">
        <f>D25/D29</f>
        <v>999994.6331528495</v>
      </c>
      <c r="E30" s="22">
        <f>E25/E29</f>
        <v>999990.9170577629</v>
      </c>
      <c r="F30" s="22">
        <f>F25/F29</f>
        <v>999982.5307689868</v>
      </c>
      <c r="G30" s="22">
        <f>G25/G29</f>
        <v>999968.7827879544</v>
      </c>
      <c r="H30" s="22">
        <f aca="true" t="shared" si="22" ref="H30:AE30">H25/H29</f>
        <v>999943.996791335</v>
      </c>
      <c r="I30" s="22">
        <f t="shared" si="22"/>
        <v>999887.0364500136</v>
      </c>
      <c r="J30" s="22">
        <f t="shared" si="22"/>
        <v>999821.3032571052</v>
      </c>
      <c r="K30" s="22">
        <f t="shared" si="22"/>
        <v>999664.7146910636</v>
      </c>
      <c r="L30" s="22">
        <f t="shared" si="22"/>
        <v>999359.7243201945</v>
      </c>
      <c r="M30" s="22">
        <f t="shared" si="22"/>
        <v>998807.7897994898</v>
      </c>
      <c r="N30" s="22">
        <f t="shared" si="22"/>
        <v>997296.8030401302</v>
      </c>
      <c r="O30" s="22">
        <f t="shared" si="22"/>
        <v>994222.3519082563</v>
      </c>
      <c r="P30" s="22">
        <f t="shared" si="22"/>
        <v>987531.2207911329</v>
      </c>
      <c r="Q30" s="22">
        <f t="shared" si="22"/>
        <v>969978.1035851121</v>
      </c>
      <c r="R30" s="22">
        <f t="shared" si="22"/>
        <v>949366.9724506056</v>
      </c>
      <c r="S30" s="22">
        <f t="shared" si="22"/>
        <v>904916.8178730533</v>
      </c>
      <c r="T30" s="22">
        <f t="shared" si="22"/>
        <v>837726.7664079244</v>
      </c>
      <c r="U30" s="22">
        <f t="shared" si="22"/>
        <v>755765.9458675253</v>
      </c>
      <c r="V30" s="22">
        <f t="shared" si="22"/>
        <v>634432.3464609209</v>
      </c>
      <c r="W30" s="22">
        <f t="shared" si="22"/>
        <v>521939.7523620219</v>
      </c>
      <c r="X30" s="22">
        <f t="shared" si="22"/>
        <v>416914.68344207597</v>
      </c>
      <c r="Y30" s="22">
        <f t="shared" si="22"/>
        <v>311883.45619581564</v>
      </c>
      <c r="Z30" s="22">
        <f t="shared" si="22"/>
        <v>257252.3392660197</v>
      </c>
      <c r="AA30" s="22">
        <f t="shared" si="22"/>
        <v>199020.67516062077</v>
      </c>
      <c r="AB30" s="22">
        <f t="shared" si="22"/>
        <v>156047.75147683988</v>
      </c>
      <c r="AC30" s="22">
        <f t="shared" si="22"/>
        <v>127115.50567735822</v>
      </c>
      <c r="AD30" s="22">
        <f t="shared" si="22"/>
        <v>101991.36763756095</v>
      </c>
      <c r="AE30" s="22">
        <f t="shared" si="22"/>
        <v>87373.93982018749</v>
      </c>
    </row>
    <row r="31" spans="3:31" s="38" customFormat="1" ht="12.75">
      <c r="C31" s="38" t="s">
        <v>62</v>
      </c>
      <c r="D31" s="39">
        <f aca="true" t="shared" si="23" ref="D31:AE31">D30/1000</f>
        <v>999.9946331528495</v>
      </c>
      <c r="E31" s="39">
        <f t="shared" si="23"/>
        <v>999.9909170577629</v>
      </c>
      <c r="F31" s="39">
        <f t="shared" si="23"/>
        <v>999.9825307689867</v>
      </c>
      <c r="G31" s="39">
        <f t="shared" si="23"/>
        <v>999.9687827879544</v>
      </c>
      <c r="H31" s="39">
        <f t="shared" si="23"/>
        <v>999.943996791335</v>
      </c>
      <c r="I31" s="39">
        <f t="shared" si="23"/>
        <v>999.8870364500136</v>
      </c>
      <c r="J31" s="39">
        <f t="shared" si="23"/>
        <v>999.8213032571052</v>
      </c>
      <c r="K31" s="39">
        <f t="shared" si="23"/>
        <v>999.6647146910636</v>
      </c>
      <c r="L31" s="39">
        <f t="shared" si="23"/>
        <v>999.3597243201945</v>
      </c>
      <c r="M31" s="39">
        <f t="shared" si="23"/>
        <v>998.8077897994898</v>
      </c>
      <c r="N31" s="39">
        <f t="shared" si="23"/>
        <v>997.2968030401302</v>
      </c>
      <c r="O31" s="39">
        <f t="shared" si="23"/>
        <v>994.2223519082563</v>
      </c>
      <c r="P31" s="39">
        <f t="shared" si="23"/>
        <v>987.5312207911329</v>
      </c>
      <c r="Q31" s="39">
        <f t="shared" si="23"/>
        <v>969.9781035851122</v>
      </c>
      <c r="R31" s="39">
        <f t="shared" si="23"/>
        <v>949.3669724506055</v>
      </c>
      <c r="S31" s="39">
        <f t="shared" si="23"/>
        <v>904.9168178730532</v>
      </c>
      <c r="T31" s="39">
        <f t="shared" si="23"/>
        <v>837.7267664079244</v>
      </c>
      <c r="U31" s="39">
        <f t="shared" si="23"/>
        <v>755.7659458675253</v>
      </c>
      <c r="V31" s="39">
        <f t="shared" si="23"/>
        <v>634.4323464609208</v>
      </c>
      <c r="W31" s="39">
        <f t="shared" si="23"/>
        <v>521.9397523620219</v>
      </c>
      <c r="X31" s="39">
        <f t="shared" si="23"/>
        <v>416.91468344207595</v>
      </c>
      <c r="Y31" s="39">
        <f t="shared" si="23"/>
        <v>311.88345619581565</v>
      </c>
      <c r="Z31" s="39">
        <f t="shared" si="23"/>
        <v>257.2523392660197</v>
      </c>
      <c r="AA31" s="39">
        <f t="shared" si="23"/>
        <v>199.02067516062078</v>
      </c>
      <c r="AB31" s="39">
        <f t="shared" si="23"/>
        <v>156.0477514768399</v>
      </c>
      <c r="AC31" s="39">
        <f t="shared" si="23"/>
        <v>127.11550567735821</v>
      </c>
      <c r="AD31" s="39">
        <f t="shared" si="23"/>
        <v>101.99136763756096</v>
      </c>
      <c r="AE31" s="39">
        <f t="shared" si="23"/>
        <v>87.37393982018749</v>
      </c>
    </row>
  </sheetData>
  <sheetProtection sheet="1" objects="1" scenarios="1"/>
  <hyperlinks>
    <hyperlink ref="B2" location="FormulaireA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19"/>
  <sheetViews>
    <sheetView workbookViewId="0" topLeftCell="A1">
      <selection activeCell="B2" sqref="B2"/>
    </sheetView>
  </sheetViews>
  <sheetFormatPr defaultColWidth="11.421875" defaultRowHeight="12.75"/>
  <sheetData>
    <row r="2" ht="12.75">
      <c r="B2" s="37" t="s">
        <v>61</v>
      </c>
    </row>
    <row r="4" spans="2:35" s="39" customFormat="1" ht="12.75">
      <c r="B4" s="40"/>
      <c r="C4" s="39" t="s">
        <v>59</v>
      </c>
      <c r="D4" s="39">
        <v>10</v>
      </c>
      <c r="E4" s="39">
        <v>13</v>
      </c>
      <c r="F4" s="39">
        <v>18</v>
      </c>
      <c r="G4" s="39">
        <v>24</v>
      </c>
      <c r="H4" s="41">
        <v>32</v>
      </c>
      <c r="I4" s="41">
        <v>45</v>
      </c>
      <c r="J4" s="41">
        <v>56</v>
      </c>
      <c r="K4" s="41">
        <v>75</v>
      </c>
      <c r="L4" s="41">
        <v>100</v>
      </c>
      <c r="M4" s="41">
        <f>E4*10</f>
        <v>130</v>
      </c>
      <c r="N4" s="41">
        <f aca="true" t="shared" si="0" ref="N4:AE4">F4*10</f>
        <v>180</v>
      </c>
      <c r="O4" s="41">
        <f t="shared" si="0"/>
        <v>240</v>
      </c>
      <c r="P4" s="41">
        <f t="shared" si="0"/>
        <v>320</v>
      </c>
      <c r="Q4" s="41">
        <f t="shared" si="0"/>
        <v>450</v>
      </c>
      <c r="R4" s="41">
        <f t="shared" si="0"/>
        <v>560</v>
      </c>
      <c r="S4" s="41">
        <f t="shared" si="0"/>
        <v>750</v>
      </c>
      <c r="T4" s="41">
        <f t="shared" si="0"/>
        <v>1000</v>
      </c>
      <c r="U4" s="41">
        <f t="shared" si="0"/>
        <v>1300</v>
      </c>
      <c r="V4" s="41">
        <f t="shared" si="0"/>
        <v>1800</v>
      </c>
      <c r="W4" s="41">
        <f t="shared" si="0"/>
        <v>2400</v>
      </c>
      <c r="X4" s="41">
        <f t="shared" si="0"/>
        <v>3200</v>
      </c>
      <c r="Y4" s="41">
        <f t="shared" si="0"/>
        <v>4500</v>
      </c>
      <c r="Z4" s="41">
        <f t="shared" si="0"/>
        <v>5600</v>
      </c>
      <c r="AA4" s="41">
        <f t="shared" si="0"/>
        <v>7500</v>
      </c>
      <c r="AB4" s="41">
        <f t="shared" si="0"/>
        <v>10000</v>
      </c>
      <c r="AC4" s="41">
        <f t="shared" si="0"/>
        <v>13000</v>
      </c>
      <c r="AD4" s="41">
        <f t="shared" si="0"/>
        <v>18000</v>
      </c>
      <c r="AE4" s="41">
        <f t="shared" si="0"/>
        <v>24000</v>
      </c>
      <c r="AF4" s="41"/>
      <c r="AG4" s="41"/>
      <c r="AH4" s="41"/>
      <c r="AI4" s="41"/>
    </row>
    <row r="5" spans="4:31" ht="12.75">
      <c r="D5">
        <f aca="true" t="shared" si="1" ref="D5:AE5">D4*2*PI()</f>
        <v>62.83185307179586</v>
      </c>
      <c r="E5">
        <f t="shared" si="1"/>
        <v>81.68140899333463</v>
      </c>
      <c r="F5">
        <f t="shared" si="1"/>
        <v>113.09733552923255</v>
      </c>
      <c r="G5">
        <f t="shared" si="1"/>
        <v>150.79644737231007</v>
      </c>
      <c r="H5">
        <f t="shared" si="1"/>
        <v>201.06192982974676</v>
      </c>
      <c r="I5">
        <f t="shared" si="1"/>
        <v>282.7433388230814</v>
      </c>
      <c r="J5">
        <f t="shared" si="1"/>
        <v>351.85837720205683</v>
      </c>
      <c r="K5">
        <f t="shared" si="1"/>
        <v>471.23889803846896</v>
      </c>
      <c r="L5">
        <f t="shared" si="1"/>
        <v>628.3185307179587</v>
      </c>
      <c r="M5">
        <f t="shared" si="1"/>
        <v>816.8140899333462</v>
      </c>
      <c r="N5">
        <f t="shared" si="1"/>
        <v>1130.9733552923256</v>
      </c>
      <c r="O5">
        <f t="shared" si="1"/>
        <v>1507.9644737231006</v>
      </c>
      <c r="P5">
        <f t="shared" si="1"/>
        <v>2010.6192982974676</v>
      </c>
      <c r="Q5">
        <f t="shared" si="1"/>
        <v>2827.4333882308138</v>
      </c>
      <c r="R5">
        <f t="shared" si="1"/>
        <v>3518.583772020568</v>
      </c>
      <c r="S5">
        <f t="shared" si="1"/>
        <v>4712.38898038469</v>
      </c>
      <c r="T5">
        <f t="shared" si="1"/>
        <v>6283.185307179586</v>
      </c>
      <c r="U5">
        <f t="shared" si="1"/>
        <v>8168.140899333462</v>
      </c>
      <c r="V5">
        <f t="shared" si="1"/>
        <v>11309.733552923255</v>
      </c>
      <c r="W5">
        <f t="shared" si="1"/>
        <v>15079.644737231007</v>
      </c>
      <c r="X5">
        <f t="shared" si="1"/>
        <v>20106.192982974677</v>
      </c>
      <c r="Y5">
        <f t="shared" si="1"/>
        <v>28274.33388230814</v>
      </c>
      <c r="Z5">
        <f t="shared" si="1"/>
        <v>35185.83772020568</v>
      </c>
      <c r="AA5">
        <f t="shared" si="1"/>
        <v>47123.8898038469</v>
      </c>
      <c r="AB5">
        <f t="shared" si="1"/>
        <v>62831.853071795864</v>
      </c>
      <c r="AC5">
        <f t="shared" si="1"/>
        <v>81681.40899333463</v>
      </c>
      <c r="AD5">
        <f t="shared" si="1"/>
        <v>113097.33552923256</v>
      </c>
      <c r="AE5">
        <f t="shared" si="1"/>
        <v>150796.44737231007</v>
      </c>
    </row>
    <row r="6" spans="4:31" ht="12.75">
      <c r="D6">
        <f>RA*rak*D5*Rk*Ck/1000000</f>
        <v>332223423.11712056</v>
      </c>
      <c r="E6">
        <f>RA*rak*E5*Rk*Ck/1000000</f>
        <v>431890450.0522569</v>
      </c>
      <c r="F6">
        <f>RA*rak*F5*Rk*Ck/1000000</f>
        <v>598002161.6108171</v>
      </c>
      <c r="G6">
        <f aca="true" t="shared" si="2" ref="G6:AE6">RA*rak*G5*Rk*Ck/1000000</f>
        <v>797336215.4810895</v>
      </c>
      <c r="H6">
        <f t="shared" si="2"/>
        <v>1063114953.9747859</v>
      </c>
      <c r="I6">
        <f t="shared" si="2"/>
        <v>1495005404.027043</v>
      </c>
      <c r="J6">
        <f t="shared" si="2"/>
        <v>1860451169.4558752</v>
      </c>
      <c r="K6">
        <f t="shared" si="2"/>
        <v>2491675673.3784046</v>
      </c>
      <c r="L6">
        <f t="shared" si="2"/>
        <v>3322234231.1712065</v>
      </c>
      <c r="M6">
        <f t="shared" si="2"/>
        <v>4318904500.522568</v>
      </c>
      <c r="N6">
        <f t="shared" si="2"/>
        <v>5980021616.108172</v>
      </c>
      <c r="O6">
        <f t="shared" si="2"/>
        <v>7973362154.810894</v>
      </c>
      <c r="P6">
        <f t="shared" si="2"/>
        <v>10631149539.747858</v>
      </c>
      <c r="Q6">
        <f t="shared" si="2"/>
        <v>14950054040.270428</v>
      </c>
      <c r="R6">
        <f t="shared" si="2"/>
        <v>18604511694.55875</v>
      </c>
      <c r="S6">
        <f t="shared" si="2"/>
        <v>24916756733.784042</v>
      </c>
      <c r="T6">
        <f t="shared" si="2"/>
        <v>33222342311.71206</v>
      </c>
      <c r="U6">
        <f t="shared" si="2"/>
        <v>43189045005.22567</v>
      </c>
      <c r="V6">
        <f t="shared" si="2"/>
        <v>59800216161.08171</v>
      </c>
      <c r="W6">
        <f t="shared" si="2"/>
        <v>79733621548.10895</v>
      </c>
      <c r="X6">
        <f t="shared" si="2"/>
        <v>106311495397.4786</v>
      </c>
      <c r="Y6">
        <f t="shared" si="2"/>
        <v>149500540402.70428</v>
      </c>
      <c r="Z6">
        <f t="shared" si="2"/>
        <v>186045116945.58752</v>
      </c>
      <c r="AA6">
        <f t="shared" si="2"/>
        <v>249167567337.84048</v>
      </c>
      <c r="AB6">
        <f t="shared" si="2"/>
        <v>332223423117.1206</v>
      </c>
      <c r="AC6">
        <f t="shared" si="2"/>
        <v>431890450052.25684</v>
      </c>
      <c r="AD6">
        <f t="shared" si="2"/>
        <v>598002161610.8171</v>
      </c>
      <c r="AE6">
        <f t="shared" si="2"/>
        <v>797336215481.0894</v>
      </c>
    </row>
    <row r="7" spans="4:31" ht="12.75">
      <c r="D7">
        <f aca="true" t="shared" si="3" ref="D7:AE7">D6*D6</f>
        <v>1.1037240286765731E+17</v>
      </c>
      <c r="E7">
        <f t="shared" si="3"/>
        <v>1.86529360846341E+17</v>
      </c>
      <c r="F7">
        <f t="shared" si="3"/>
        <v>3.576065852912098E+17</v>
      </c>
      <c r="G7">
        <f t="shared" si="3"/>
        <v>6.357450405177064E+17</v>
      </c>
      <c r="H7">
        <f t="shared" si="3"/>
        <v>1.1302134053648111E+18</v>
      </c>
      <c r="I7">
        <f t="shared" si="3"/>
        <v>2.2350411580700623E+18</v>
      </c>
      <c r="J7">
        <f t="shared" si="3"/>
        <v>3.4612785539297336E+18</v>
      </c>
      <c r="K7">
        <f t="shared" si="3"/>
        <v>6.208447661305726E+18</v>
      </c>
      <c r="L7">
        <f t="shared" si="3"/>
        <v>1.1037240286765738E+19</v>
      </c>
      <c r="M7">
        <f t="shared" si="3"/>
        <v>1.865293608463409E+19</v>
      </c>
      <c r="N7">
        <f t="shared" si="3"/>
        <v>3.5760658529120997E+19</v>
      </c>
      <c r="O7">
        <f t="shared" si="3"/>
        <v>6.357450405177062E+19</v>
      </c>
      <c r="P7">
        <f t="shared" si="3"/>
        <v>1.1302134053648109E+20</v>
      </c>
      <c r="Q7">
        <f t="shared" si="3"/>
        <v>2.2350411580700613E+20</v>
      </c>
      <c r="R7">
        <f t="shared" si="3"/>
        <v>3.461278553929733E+20</v>
      </c>
      <c r="S7">
        <f t="shared" si="3"/>
        <v>6.208447661305724E+20</v>
      </c>
      <c r="T7">
        <f t="shared" si="3"/>
        <v>1.1037240286765734E+21</v>
      </c>
      <c r="U7">
        <f t="shared" si="3"/>
        <v>1.8652936084634083E+21</v>
      </c>
      <c r="V7">
        <f t="shared" si="3"/>
        <v>3.576065852912098E+21</v>
      </c>
      <c r="W7">
        <f t="shared" si="3"/>
        <v>6.357450405177063E+21</v>
      </c>
      <c r="X7">
        <f t="shared" si="3"/>
        <v>1.1302134053648116E+22</v>
      </c>
      <c r="Y7">
        <f t="shared" si="3"/>
        <v>2.2350411580700614E+22</v>
      </c>
      <c r="Z7">
        <f t="shared" si="3"/>
        <v>3.461278553929734E+22</v>
      </c>
      <c r="AA7">
        <f t="shared" si="3"/>
        <v>6.208447661305727E+22</v>
      </c>
      <c r="AB7">
        <f t="shared" si="3"/>
        <v>1.1037240286765735E+23</v>
      </c>
      <c r="AC7">
        <f t="shared" si="3"/>
        <v>1.8652936084634097E+23</v>
      </c>
      <c r="AD7">
        <f t="shared" si="3"/>
        <v>3.576065852912098E+23</v>
      </c>
      <c r="AE7">
        <f t="shared" si="3"/>
        <v>6.357450405177061E+23</v>
      </c>
    </row>
    <row r="8" spans="4:31" ht="12.75">
      <c r="D8">
        <f>D10*D10</f>
        <v>5.968249E+20</v>
      </c>
      <c r="E8">
        <f>E10*E10</f>
        <v>5.968249E+20</v>
      </c>
      <c r="F8">
        <f>F10*F10</f>
        <v>5.968249E+20</v>
      </c>
      <c r="G8">
        <f aca="true" t="shared" si="4" ref="G8:AE8">G10*G10</f>
        <v>5.968249E+20</v>
      </c>
      <c r="H8">
        <f t="shared" si="4"/>
        <v>5.968249E+20</v>
      </c>
      <c r="I8">
        <f t="shared" si="4"/>
        <v>5.968249E+20</v>
      </c>
      <c r="J8">
        <f t="shared" si="4"/>
        <v>5.968249E+20</v>
      </c>
      <c r="K8">
        <f t="shared" si="4"/>
        <v>5.968249E+20</v>
      </c>
      <c r="L8">
        <f t="shared" si="4"/>
        <v>5.968249E+20</v>
      </c>
      <c r="M8">
        <f t="shared" si="4"/>
        <v>5.968249E+20</v>
      </c>
      <c r="N8">
        <f t="shared" si="4"/>
        <v>5.968249E+20</v>
      </c>
      <c r="O8">
        <f t="shared" si="4"/>
        <v>5.968249E+20</v>
      </c>
      <c r="P8">
        <f t="shared" si="4"/>
        <v>5.968249E+20</v>
      </c>
      <c r="Q8">
        <f t="shared" si="4"/>
        <v>5.968249E+20</v>
      </c>
      <c r="R8">
        <f t="shared" si="4"/>
        <v>5.968249E+20</v>
      </c>
      <c r="S8">
        <f t="shared" si="4"/>
        <v>5.968249E+20</v>
      </c>
      <c r="T8">
        <f t="shared" si="4"/>
        <v>5.968249E+20</v>
      </c>
      <c r="U8">
        <f t="shared" si="4"/>
        <v>5.968249E+20</v>
      </c>
      <c r="V8">
        <f t="shared" si="4"/>
        <v>5.968249E+20</v>
      </c>
      <c r="W8">
        <f t="shared" si="4"/>
        <v>5.968249E+20</v>
      </c>
      <c r="X8">
        <f t="shared" si="4"/>
        <v>5.968249E+20</v>
      </c>
      <c r="Y8">
        <f t="shared" si="4"/>
        <v>5.968249E+20</v>
      </c>
      <c r="Z8">
        <f t="shared" si="4"/>
        <v>5.968249E+20</v>
      </c>
      <c r="AA8">
        <f t="shared" si="4"/>
        <v>5.968249E+20</v>
      </c>
      <c r="AB8">
        <f t="shared" si="4"/>
        <v>5.968249E+20</v>
      </c>
      <c r="AC8">
        <f t="shared" si="4"/>
        <v>5.968249E+20</v>
      </c>
      <c r="AD8">
        <f t="shared" si="4"/>
        <v>5.968249E+20</v>
      </c>
      <c r="AE8">
        <f t="shared" si="4"/>
        <v>5.968249E+20</v>
      </c>
    </row>
    <row r="9" spans="4:31" ht="12.75">
      <c r="D9">
        <f>SQRT(D7+D8)</f>
        <v>24432258847.737915</v>
      </c>
      <c r="E9">
        <f>SQRT(E7+E8)</f>
        <v>24433817330.921635</v>
      </c>
      <c r="F9">
        <f>SQRT(F7+F8)</f>
        <v>24437317908.99507</v>
      </c>
      <c r="G9">
        <f aca="true" t="shared" si="5" ref="G9:AE9">SQRT(G7+G8)</f>
        <v>24443008101.30614</v>
      </c>
      <c r="H9">
        <f t="shared" si="5"/>
        <v>24453120729.3745</v>
      </c>
      <c r="I9">
        <f t="shared" si="5"/>
        <v>24475701035.068844</v>
      </c>
      <c r="J9">
        <f t="shared" si="5"/>
        <v>24500738326.710274</v>
      </c>
      <c r="K9">
        <f t="shared" si="5"/>
        <v>24556737317.10517</v>
      </c>
      <c r="L9">
        <f t="shared" si="5"/>
        <v>24654860378.569695</v>
      </c>
      <c r="M9">
        <f t="shared" si="5"/>
        <v>24808825769.968117</v>
      </c>
      <c r="N9">
        <f t="shared" si="5"/>
        <v>25151253617.446606</v>
      </c>
      <c r="O9">
        <f t="shared" si="5"/>
        <v>25698237372.46916</v>
      </c>
      <c r="P9">
        <f t="shared" si="5"/>
        <v>26642939787.80272</v>
      </c>
      <c r="Q9">
        <f t="shared" si="5"/>
        <v>28641386415.587605</v>
      </c>
      <c r="R9">
        <f t="shared" si="5"/>
        <v>30707535807.892063</v>
      </c>
      <c r="S9">
        <f t="shared" si="5"/>
        <v>34895123815.95131</v>
      </c>
      <c r="T9">
        <f t="shared" si="5"/>
        <v>41237712456.883125</v>
      </c>
      <c r="U9">
        <f t="shared" si="5"/>
        <v>49619739101.12193</v>
      </c>
      <c r="V9">
        <f t="shared" si="5"/>
        <v>64597916010.59664</v>
      </c>
      <c r="W9">
        <f t="shared" si="5"/>
        <v>83392297636.99442</v>
      </c>
      <c r="X9">
        <f t="shared" si="5"/>
        <v>109082349413.86308</v>
      </c>
      <c r="Y9">
        <f t="shared" si="5"/>
        <v>151483452828.02545</v>
      </c>
      <c r="Z9">
        <f t="shared" si="5"/>
        <v>187642240551.79404</v>
      </c>
      <c r="AA9">
        <f t="shared" si="5"/>
        <v>250362340444.9185</v>
      </c>
      <c r="AB9">
        <f t="shared" si="5"/>
        <v>333120440333.0083</v>
      </c>
      <c r="AC9">
        <f t="shared" si="5"/>
        <v>432580843018.2051</v>
      </c>
      <c r="AD9">
        <f t="shared" si="5"/>
        <v>598500969248.3462</v>
      </c>
      <c r="AE9">
        <f t="shared" si="5"/>
        <v>797710389438.2385</v>
      </c>
    </row>
    <row r="10" spans="4:31" ht="12.75">
      <c r="D10">
        <f>RA*rak+(mu+1)*RA*Rk</f>
        <v>24430000000</v>
      </c>
      <c r="E10">
        <f>RA*rak+(mu+1)*RA*Rk</f>
        <v>24430000000</v>
      </c>
      <c r="F10">
        <f>RA*rak+(mu+1)*RA*Rk</f>
        <v>24430000000</v>
      </c>
      <c r="G10">
        <f aca="true" t="shared" si="6" ref="G10:AE10">RA*rak+(mu+1)*RA*Rk</f>
        <v>24430000000</v>
      </c>
      <c r="H10">
        <f t="shared" si="6"/>
        <v>24430000000</v>
      </c>
      <c r="I10">
        <f t="shared" si="6"/>
        <v>24430000000</v>
      </c>
      <c r="J10">
        <f t="shared" si="6"/>
        <v>24430000000</v>
      </c>
      <c r="K10">
        <f t="shared" si="6"/>
        <v>24430000000</v>
      </c>
      <c r="L10">
        <f t="shared" si="6"/>
        <v>24430000000</v>
      </c>
      <c r="M10">
        <f t="shared" si="6"/>
        <v>24430000000</v>
      </c>
      <c r="N10">
        <f t="shared" si="6"/>
        <v>24430000000</v>
      </c>
      <c r="O10">
        <f t="shared" si="6"/>
        <v>24430000000</v>
      </c>
      <c r="P10">
        <f t="shared" si="6"/>
        <v>24430000000</v>
      </c>
      <c r="Q10">
        <f t="shared" si="6"/>
        <v>24430000000</v>
      </c>
      <c r="R10">
        <f t="shared" si="6"/>
        <v>24430000000</v>
      </c>
      <c r="S10">
        <f t="shared" si="6"/>
        <v>24430000000</v>
      </c>
      <c r="T10">
        <f t="shared" si="6"/>
        <v>24430000000</v>
      </c>
      <c r="U10">
        <f t="shared" si="6"/>
        <v>24430000000</v>
      </c>
      <c r="V10">
        <f t="shared" si="6"/>
        <v>24430000000</v>
      </c>
      <c r="W10">
        <f t="shared" si="6"/>
        <v>24430000000</v>
      </c>
      <c r="X10">
        <f t="shared" si="6"/>
        <v>24430000000</v>
      </c>
      <c r="Y10">
        <f t="shared" si="6"/>
        <v>24430000000</v>
      </c>
      <c r="Z10">
        <f t="shared" si="6"/>
        <v>24430000000</v>
      </c>
      <c r="AA10">
        <f t="shared" si="6"/>
        <v>24430000000</v>
      </c>
      <c r="AB10">
        <f t="shared" si="6"/>
        <v>24430000000</v>
      </c>
      <c r="AC10">
        <f t="shared" si="6"/>
        <v>24430000000</v>
      </c>
      <c r="AD10">
        <f t="shared" si="6"/>
        <v>24430000000</v>
      </c>
      <c r="AE10">
        <f t="shared" si="6"/>
        <v>24430000000</v>
      </c>
    </row>
    <row r="11" spans="4:31" ht="12.75">
      <c r="D11">
        <f>(RA+rak)*D5*Rk*Ck/1000000</f>
        <v>8637.809001045136</v>
      </c>
      <c r="E11">
        <f>(RA+rak)*E5*Rk*Ck/1000000</f>
        <v>11229.151701358678</v>
      </c>
      <c r="F11">
        <f>(RA+rak)*F5*Rk*Ck/1000000</f>
        <v>15548.056201881245</v>
      </c>
      <c r="G11">
        <f aca="true" t="shared" si="7" ref="G11:AE11">(RA+rak)*G5*Rk*Ck/1000000</f>
        <v>20730.741602508326</v>
      </c>
      <c r="H11">
        <f t="shared" si="7"/>
        <v>27640.988803344433</v>
      </c>
      <c r="I11">
        <f t="shared" si="7"/>
        <v>38870.140504703115</v>
      </c>
      <c r="J11">
        <f t="shared" si="7"/>
        <v>48371.73040585276</v>
      </c>
      <c r="K11">
        <f t="shared" si="7"/>
        <v>64783.56750783853</v>
      </c>
      <c r="L11">
        <f t="shared" si="7"/>
        <v>86378.09001045136</v>
      </c>
      <c r="M11">
        <f t="shared" si="7"/>
        <v>112291.51701358677</v>
      </c>
      <c r="N11">
        <f t="shared" si="7"/>
        <v>155480.56201881246</v>
      </c>
      <c r="O11">
        <f t="shared" si="7"/>
        <v>207307.41602508322</v>
      </c>
      <c r="P11">
        <f t="shared" si="7"/>
        <v>276409.88803344435</v>
      </c>
      <c r="Q11">
        <f t="shared" si="7"/>
        <v>388701.4050470311</v>
      </c>
      <c r="R11">
        <f t="shared" si="7"/>
        <v>483717.3040585275</v>
      </c>
      <c r="S11">
        <f t="shared" si="7"/>
        <v>647835.6750783852</v>
      </c>
      <c r="T11">
        <f t="shared" si="7"/>
        <v>863780.9001045135</v>
      </c>
      <c r="U11">
        <f t="shared" si="7"/>
        <v>1122915.1701358678</v>
      </c>
      <c r="V11">
        <f t="shared" si="7"/>
        <v>1554805.6201881245</v>
      </c>
      <c r="W11">
        <f t="shared" si="7"/>
        <v>2073074.160250833</v>
      </c>
      <c r="X11">
        <f t="shared" si="7"/>
        <v>2764098.8803344434</v>
      </c>
      <c r="Y11">
        <f t="shared" si="7"/>
        <v>3887014.0504703117</v>
      </c>
      <c r="Z11">
        <f t="shared" si="7"/>
        <v>4837173.040585277</v>
      </c>
      <c r="AA11">
        <f t="shared" si="7"/>
        <v>6478356.750783852</v>
      </c>
      <c r="AB11">
        <f t="shared" si="7"/>
        <v>8637809.001045136</v>
      </c>
      <c r="AC11">
        <f t="shared" si="7"/>
        <v>11229151.701358676</v>
      </c>
      <c r="AD11">
        <f t="shared" si="7"/>
        <v>15548056.201881247</v>
      </c>
      <c r="AE11">
        <f t="shared" si="7"/>
        <v>20730741.602508325</v>
      </c>
    </row>
    <row r="12" spans="4:31" ht="12.75">
      <c r="D12">
        <f aca="true" t="shared" si="8" ref="D12:AE12">D11*D11</f>
        <v>74611744.33853637</v>
      </c>
      <c r="E12">
        <f t="shared" si="8"/>
        <v>126093847.93212649</v>
      </c>
      <c r="F12">
        <f t="shared" si="8"/>
        <v>241742051.65685785</v>
      </c>
      <c r="G12">
        <f t="shared" si="8"/>
        <v>429763647.38996947</v>
      </c>
      <c r="H12">
        <f t="shared" si="8"/>
        <v>764024262.0266123</v>
      </c>
      <c r="I12">
        <f t="shared" si="8"/>
        <v>1510887822.8553617</v>
      </c>
      <c r="J12">
        <f t="shared" si="8"/>
        <v>2339824302.4565005</v>
      </c>
      <c r="K12">
        <f t="shared" si="8"/>
        <v>4196910619.042672</v>
      </c>
      <c r="L12">
        <f t="shared" si="8"/>
        <v>7461174433.853637</v>
      </c>
      <c r="M12">
        <f t="shared" si="8"/>
        <v>12609384793.212646</v>
      </c>
      <c r="N12">
        <f t="shared" si="8"/>
        <v>24174205165.685787</v>
      </c>
      <c r="O12">
        <f t="shared" si="8"/>
        <v>42976364738.99693</v>
      </c>
      <c r="P12">
        <f t="shared" si="8"/>
        <v>76402426202.66124</v>
      </c>
      <c r="Q12">
        <f t="shared" si="8"/>
        <v>151088782285.53616</v>
      </c>
      <c r="R12">
        <f t="shared" si="8"/>
        <v>233982430245.64996</v>
      </c>
      <c r="S12">
        <f t="shared" si="8"/>
        <v>419691061904.267</v>
      </c>
      <c r="T12">
        <f t="shared" si="8"/>
        <v>746117443385.3635</v>
      </c>
      <c r="U12">
        <f t="shared" si="8"/>
        <v>1260938479321.265</v>
      </c>
      <c r="V12">
        <f t="shared" si="8"/>
        <v>2417420516568.5786</v>
      </c>
      <c r="W12">
        <f t="shared" si="8"/>
        <v>4297636473899.6963</v>
      </c>
      <c r="X12">
        <f t="shared" si="8"/>
        <v>7640242620266.124</v>
      </c>
      <c r="Y12">
        <f t="shared" si="8"/>
        <v>15108878228553.62</v>
      </c>
      <c r="Z12">
        <f t="shared" si="8"/>
        <v>23398243024565.01</v>
      </c>
      <c r="AA12">
        <f t="shared" si="8"/>
        <v>41969106190426.71</v>
      </c>
      <c r="AB12">
        <f t="shared" si="8"/>
        <v>74611744338536.36</v>
      </c>
      <c r="AC12">
        <f t="shared" si="8"/>
        <v>126093847932126.45</v>
      </c>
      <c r="AD12">
        <f t="shared" si="8"/>
        <v>241742051656857.9</v>
      </c>
      <c r="AE12">
        <f t="shared" si="8"/>
        <v>429763647389969.44</v>
      </c>
    </row>
    <row r="13" spans="4:31" ht="12.75">
      <c r="D13">
        <f>RA+rak</f>
        <v>162500</v>
      </c>
      <c r="E13">
        <f>RA+rak</f>
        <v>162500</v>
      </c>
      <c r="F13">
        <f>RA+rak</f>
        <v>162500</v>
      </c>
      <c r="G13">
        <f aca="true" t="shared" si="9" ref="G13:AE13">RA+rak</f>
        <v>162500</v>
      </c>
      <c r="H13">
        <f t="shared" si="9"/>
        <v>162500</v>
      </c>
      <c r="I13">
        <f t="shared" si="9"/>
        <v>162500</v>
      </c>
      <c r="J13">
        <f t="shared" si="9"/>
        <v>162500</v>
      </c>
      <c r="K13">
        <f t="shared" si="9"/>
        <v>162500</v>
      </c>
      <c r="L13">
        <f t="shared" si="9"/>
        <v>162500</v>
      </c>
      <c r="M13">
        <f t="shared" si="9"/>
        <v>162500</v>
      </c>
      <c r="N13">
        <f t="shared" si="9"/>
        <v>162500</v>
      </c>
      <c r="O13">
        <f t="shared" si="9"/>
        <v>162500</v>
      </c>
      <c r="P13">
        <f t="shared" si="9"/>
        <v>162500</v>
      </c>
      <c r="Q13">
        <f t="shared" si="9"/>
        <v>162500</v>
      </c>
      <c r="R13">
        <f t="shared" si="9"/>
        <v>162500</v>
      </c>
      <c r="S13">
        <f t="shared" si="9"/>
        <v>162500</v>
      </c>
      <c r="T13">
        <f t="shared" si="9"/>
        <v>162500</v>
      </c>
      <c r="U13">
        <f t="shared" si="9"/>
        <v>162500</v>
      </c>
      <c r="V13">
        <f t="shared" si="9"/>
        <v>162500</v>
      </c>
      <c r="W13">
        <f t="shared" si="9"/>
        <v>162500</v>
      </c>
      <c r="X13">
        <f t="shared" si="9"/>
        <v>162500</v>
      </c>
      <c r="Y13">
        <f t="shared" si="9"/>
        <v>162500</v>
      </c>
      <c r="Z13">
        <f t="shared" si="9"/>
        <v>162500</v>
      </c>
      <c r="AA13">
        <f t="shared" si="9"/>
        <v>162500</v>
      </c>
      <c r="AB13">
        <f t="shared" si="9"/>
        <v>162500</v>
      </c>
      <c r="AC13">
        <f t="shared" si="9"/>
        <v>162500</v>
      </c>
      <c r="AD13">
        <f t="shared" si="9"/>
        <v>162500</v>
      </c>
      <c r="AE13">
        <f t="shared" si="9"/>
        <v>162500</v>
      </c>
    </row>
    <row r="14" spans="4:31" ht="12.75">
      <c r="D14">
        <f>D13+(mu+1)*Rk</f>
        <v>344300</v>
      </c>
      <c r="E14">
        <f>E13+(mu+1)*Rk</f>
        <v>344300</v>
      </c>
      <c r="F14">
        <f>F13+(mu+1)*Rk</f>
        <v>344300</v>
      </c>
      <c r="G14">
        <f aca="true" t="shared" si="10" ref="G14:AE14">G13+(mu+1)*Rk</f>
        <v>344300</v>
      </c>
      <c r="H14">
        <f t="shared" si="10"/>
        <v>344300</v>
      </c>
      <c r="I14">
        <f t="shared" si="10"/>
        <v>344300</v>
      </c>
      <c r="J14">
        <f t="shared" si="10"/>
        <v>344300</v>
      </c>
      <c r="K14">
        <f t="shared" si="10"/>
        <v>344300</v>
      </c>
      <c r="L14">
        <f t="shared" si="10"/>
        <v>344300</v>
      </c>
      <c r="M14">
        <f t="shared" si="10"/>
        <v>344300</v>
      </c>
      <c r="N14">
        <f t="shared" si="10"/>
        <v>344300</v>
      </c>
      <c r="O14">
        <f t="shared" si="10"/>
        <v>344300</v>
      </c>
      <c r="P14">
        <f t="shared" si="10"/>
        <v>344300</v>
      </c>
      <c r="Q14">
        <f t="shared" si="10"/>
        <v>344300</v>
      </c>
      <c r="R14">
        <f t="shared" si="10"/>
        <v>344300</v>
      </c>
      <c r="S14">
        <f t="shared" si="10"/>
        <v>344300</v>
      </c>
      <c r="T14">
        <f t="shared" si="10"/>
        <v>344300</v>
      </c>
      <c r="U14">
        <f t="shared" si="10"/>
        <v>344300</v>
      </c>
      <c r="V14">
        <f t="shared" si="10"/>
        <v>344300</v>
      </c>
      <c r="W14">
        <f t="shared" si="10"/>
        <v>344300</v>
      </c>
      <c r="X14">
        <f t="shared" si="10"/>
        <v>344300</v>
      </c>
      <c r="Y14">
        <f t="shared" si="10"/>
        <v>344300</v>
      </c>
      <c r="Z14">
        <f t="shared" si="10"/>
        <v>344300</v>
      </c>
      <c r="AA14">
        <f t="shared" si="10"/>
        <v>344300</v>
      </c>
      <c r="AB14">
        <f t="shared" si="10"/>
        <v>344300</v>
      </c>
      <c r="AC14">
        <f t="shared" si="10"/>
        <v>344300</v>
      </c>
      <c r="AD14">
        <f t="shared" si="10"/>
        <v>344300</v>
      </c>
      <c r="AE14">
        <f t="shared" si="10"/>
        <v>344300</v>
      </c>
    </row>
    <row r="15" spans="4:31" ht="12.75">
      <c r="D15">
        <f>D14*D14</f>
        <v>118542490000</v>
      </c>
      <c r="E15">
        <f>E14*E14</f>
        <v>118542490000</v>
      </c>
      <c r="F15">
        <f>F14*F14</f>
        <v>118542490000</v>
      </c>
      <c r="G15">
        <f aca="true" t="shared" si="11" ref="G15:AE15">G14*G14</f>
        <v>118542490000</v>
      </c>
      <c r="H15">
        <f t="shared" si="11"/>
        <v>118542490000</v>
      </c>
      <c r="I15">
        <f t="shared" si="11"/>
        <v>118542490000</v>
      </c>
      <c r="J15">
        <f t="shared" si="11"/>
        <v>118542490000</v>
      </c>
      <c r="K15">
        <f t="shared" si="11"/>
        <v>118542490000</v>
      </c>
      <c r="L15">
        <f t="shared" si="11"/>
        <v>118542490000</v>
      </c>
      <c r="M15">
        <f t="shared" si="11"/>
        <v>118542490000</v>
      </c>
      <c r="N15">
        <f t="shared" si="11"/>
        <v>118542490000</v>
      </c>
      <c r="O15">
        <f t="shared" si="11"/>
        <v>118542490000</v>
      </c>
      <c r="P15">
        <f t="shared" si="11"/>
        <v>118542490000</v>
      </c>
      <c r="Q15">
        <f t="shared" si="11"/>
        <v>118542490000</v>
      </c>
      <c r="R15">
        <f t="shared" si="11"/>
        <v>118542490000</v>
      </c>
      <c r="S15">
        <f t="shared" si="11"/>
        <v>118542490000</v>
      </c>
      <c r="T15">
        <f t="shared" si="11"/>
        <v>118542490000</v>
      </c>
      <c r="U15">
        <f t="shared" si="11"/>
        <v>118542490000</v>
      </c>
      <c r="V15">
        <f t="shared" si="11"/>
        <v>118542490000</v>
      </c>
      <c r="W15">
        <f t="shared" si="11"/>
        <v>118542490000</v>
      </c>
      <c r="X15">
        <f t="shared" si="11"/>
        <v>118542490000</v>
      </c>
      <c r="Y15">
        <f t="shared" si="11"/>
        <v>118542490000</v>
      </c>
      <c r="Z15">
        <f t="shared" si="11"/>
        <v>118542490000</v>
      </c>
      <c r="AA15">
        <f t="shared" si="11"/>
        <v>118542490000</v>
      </c>
      <c r="AB15">
        <f t="shared" si="11"/>
        <v>118542490000</v>
      </c>
      <c r="AC15">
        <f t="shared" si="11"/>
        <v>118542490000</v>
      </c>
      <c r="AD15">
        <f t="shared" si="11"/>
        <v>118542490000</v>
      </c>
      <c r="AE15">
        <f t="shared" si="11"/>
        <v>118542490000</v>
      </c>
    </row>
    <row r="16" spans="4:31" ht="12.75">
      <c r="D16">
        <f>SQRT(D12+D15)</f>
        <v>344408.3357648861</v>
      </c>
      <c r="E16">
        <f>SQRT(E12+E15)</f>
        <v>344483.0675779756</v>
      </c>
      <c r="F16">
        <f>SQRT(F12+F15)</f>
        <v>344650.8843041852</v>
      </c>
      <c r="G16">
        <f aca="true" t="shared" si="12" ref="G16:AE16">SQRT(G12+G15)</f>
        <v>344923.5475397265</v>
      </c>
      <c r="H16">
        <f t="shared" si="12"/>
        <v>345407.75072662544</v>
      </c>
      <c r="I16">
        <f t="shared" si="12"/>
        <v>346487.1971990529</v>
      </c>
      <c r="J16">
        <f t="shared" si="12"/>
        <v>347681.3401700708</v>
      </c>
      <c r="K16">
        <f t="shared" si="12"/>
        <v>350341.83395512827</v>
      </c>
      <c r="L16">
        <f t="shared" si="12"/>
        <v>354969.94863488607</v>
      </c>
      <c r="M16">
        <f t="shared" si="12"/>
        <v>362148.9676821027</v>
      </c>
      <c r="N16">
        <f t="shared" si="12"/>
        <v>377778.63248956494</v>
      </c>
      <c r="O16">
        <f t="shared" si="12"/>
        <v>401894.0839810869</v>
      </c>
      <c r="P16">
        <f t="shared" si="12"/>
        <v>441525.66879249644</v>
      </c>
      <c r="Q16">
        <f t="shared" si="12"/>
        <v>519260.3126424512</v>
      </c>
      <c r="R16">
        <f t="shared" si="12"/>
        <v>593738.0906137401</v>
      </c>
      <c r="S16">
        <f t="shared" si="12"/>
        <v>733644.0226051508</v>
      </c>
      <c r="T16">
        <f t="shared" si="12"/>
        <v>929870.9229701526</v>
      </c>
      <c r="U16">
        <f t="shared" si="12"/>
        <v>1174513.077543739</v>
      </c>
      <c r="V16">
        <f t="shared" si="12"/>
        <v>1592470.7239282543</v>
      </c>
      <c r="W16">
        <f t="shared" si="12"/>
        <v>2101470.6669139345</v>
      </c>
      <c r="X16">
        <f t="shared" si="12"/>
        <v>2785459.5869023344</v>
      </c>
      <c r="Y16">
        <f t="shared" si="12"/>
        <v>3902232.7863101168</v>
      </c>
      <c r="Z16">
        <f t="shared" si="12"/>
        <v>4849410.842005966</v>
      </c>
      <c r="AA16">
        <f t="shared" si="12"/>
        <v>6487499.416603188</v>
      </c>
      <c r="AB16">
        <f t="shared" si="12"/>
        <v>8644668.11558063</v>
      </c>
      <c r="AC16">
        <f t="shared" si="12"/>
        <v>11234428.798213394</v>
      </c>
      <c r="AD16">
        <f t="shared" si="12"/>
        <v>15551867.866814516</v>
      </c>
      <c r="AE16">
        <f t="shared" si="12"/>
        <v>20733600.504494376</v>
      </c>
    </row>
    <row r="18" spans="4:31" ht="12.75">
      <c r="D18">
        <f>D9/D16</f>
        <v>70939.80113308538</v>
      </c>
      <c r="E18">
        <f>E9/E16</f>
        <v>70928.93564468421</v>
      </c>
      <c r="F18">
        <f>F9/F16</f>
        <v>70904.55594893223</v>
      </c>
      <c r="G18">
        <f aca="true" t="shared" si="13" ref="G18:AE18">G9/G16</f>
        <v>70865.00262348984</v>
      </c>
      <c r="H18">
        <f t="shared" si="13"/>
        <v>70794.93925059034</v>
      </c>
      <c r="I18">
        <f t="shared" si="13"/>
        <v>70639.5538794117</v>
      </c>
      <c r="J18">
        <f t="shared" si="13"/>
        <v>70468.94813142851</v>
      </c>
      <c r="K18">
        <f t="shared" si="13"/>
        <v>70093.64836587112</v>
      </c>
      <c r="L18">
        <f t="shared" si="13"/>
        <v>69456.19051242311</v>
      </c>
      <c r="M18">
        <f t="shared" si="13"/>
        <v>68504.47739435642</v>
      </c>
      <c r="N18">
        <f t="shared" si="13"/>
        <v>66576.69718294969</v>
      </c>
      <c r="O18">
        <f t="shared" si="13"/>
        <v>63942.81079708184</v>
      </c>
      <c r="P18">
        <f t="shared" si="13"/>
        <v>60342.90115151626</v>
      </c>
      <c r="Q18">
        <f t="shared" si="13"/>
        <v>55158.050246195686</v>
      </c>
      <c r="R18">
        <f t="shared" si="13"/>
        <v>51718.992419957496</v>
      </c>
      <c r="S18">
        <f t="shared" si="13"/>
        <v>47564.108396930205</v>
      </c>
      <c r="T18">
        <f t="shared" si="13"/>
        <v>44347.78143741009</v>
      </c>
      <c r="U18">
        <f t="shared" si="13"/>
        <v>42247.072467589525</v>
      </c>
      <c r="V18">
        <f t="shared" si="13"/>
        <v>40564.586236944204</v>
      </c>
      <c r="W18">
        <f t="shared" si="13"/>
        <v>39682.82734084422</v>
      </c>
      <c r="X18">
        <f t="shared" si="13"/>
        <v>39161.34699163661</v>
      </c>
      <c r="Y18">
        <f t="shared" si="13"/>
        <v>38819.68634968739</v>
      </c>
      <c r="Z18">
        <f t="shared" si="13"/>
        <v>38693.822129159</v>
      </c>
      <c r="AA18">
        <f t="shared" si="13"/>
        <v>38591.50103415448</v>
      </c>
      <c r="AB18">
        <f t="shared" si="13"/>
        <v>38534.78651570348</v>
      </c>
      <c r="AC18">
        <f t="shared" si="13"/>
        <v>38504.92542059621</v>
      </c>
      <c r="AD18">
        <f t="shared" si="13"/>
        <v>38484.18558940193</v>
      </c>
      <c r="AE18">
        <f t="shared" si="13"/>
        <v>38474.28184339332</v>
      </c>
    </row>
    <row r="19" spans="3:31" s="1" customFormat="1" ht="12.75">
      <c r="C19" s="1" t="s">
        <v>65</v>
      </c>
      <c r="D19" s="1">
        <f aca="true" t="shared" si="14" ref="D19:AE19">D18/1000</f>
        <v>70.93980113308538</v>
      </c>
      <c r="E19" s="1">
        <f t="shared" si="14"/>
        <v>70.92893564468422</v>
      </c>
      <c r="F19" s="1">
        <f t="shared" si="14"/>
        <v>70.90455594893223</v>
      </c>
      <c r="G19" s="1">
        <f t="shared" si="14"/>
        <v>70.86500262348984</v>
      </c>
      <c r="H19" s="1">
        <f t="shared" si="14"/>
        <v>70.79493925059033</v>
      </c>
      <c r="I19" s="1">
        <f t="shared" si="14"/>
        <v>70.63955387941171</v>
      </c>
      <c r="J19" s="1">
        <f t="shared" si="14"/>
        <v>70.4689481314285</v>
      </c>
      <c r="K19" s="1">
        <f t="shared" si="14"/>
        <v>70.09364836587112</v>
      </c>
      <c r="L19" s="1">
        <f t="shared" si="14"/>
        <v>69.4561905124231</v>
      </c>
      <c r="M19" s="1">
        <f t="shared" si="14"/>
        <v>68.50447739435643</v>
      </c>
      <c r="N19" s="1">
        <f t="shared" si="14"/>
        <v>66.57669718294969</v>
      </c>
      <c r="O19" s="1">
        <f t="shared" si="14"/>
        <v>63.94281079708184</v>
      </c>
      <c r="P19" s="1">
        <f t="shared" si="14"/>
        <v>60.34290115151626</v>
      </c>
      <c r="Q19" s="1">
        <f t="shared" si="14"/>
        <v>55.158050246195685</v>
      </c>
      <c r="R19" s="1">
        <f t="shared" si="14"/>
        <v>51.718992419957495</v>
      </c>
      <c r="S19" s="1">
        <f t="shared" si="14"/>
        <v>47.56410839693021</v>
      </c>
      <c r="T19" s="1">
        <f t="shared" si="14"/>
        <v>44.34778143741009</v>
      </c>
      <c r="U19" s="1">
        <f t="shared" si="14"/>
        <v>42.247072467589526</v>
      </c>
      <c r="V19" s="1">
        <f t="shared" si="14"/>
        <v>40.5645862369442</v>
      </c>
      <c r="W19" s="1">
        <f t="shared" si="14"/>
        <v>39.68282734084422</v>
      </c>
      <c r="X19" s="1">
        <f t="shared" si="14"/>
        <v>39.161346991636606</v>
      </c>
      <c r="Y19" s="1">
        <f t="shared" si="14"/>
        <v>38.819686349687395</v>
      </c>
      <c r="Z19" s="1">
        <f t="shared" si="14"/>
        <v>38.693822129159</v>
      </c>
      <c r="AA19" s="1">
        <f t="shared" si="14"/>
        <v>38.591501034154476</v>
      </c>
      <c r="AB19" s="1">
        <f t="shared" si="14"/>
        <v>38.53478651570348</v>
      </c>
      <c r="AC19" s="1">
        <f t="shared" si="14"/>
        <v>38.504925420596216</v>
      </c>
      <c r="AD19" s="1">
        <f t="shared" si="14"/>
        <v>38.48418558940193</v>
      </c>
      <c r="AE19" s="1">
        <f t="shared" si="14"/>
        <v>38.47428184339332</v>
      </c>
    </row>
  </sheetData>
  <sheetProtection sheet="1" objects="1" scenarios="1"/>
  <hyperlinks>
    <hyperlink ref="B2" location="FormulaireA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R41"/>
  <sheetViews>
    <sheetView workbookViewId="0" topLeftCell="A1">
      <selection activeCell="B2" sqref="B2"/>
    </sheetView>
  </sheetViews>
  <sheetFormatPr defaultColWidth="11.421875" defaultRowHeight="12.75"/>
  <cols>
    <col min="14" max="14" width="11.421875" style="22" customWidth="1"/>
    <col min="23" max="23" width="11.421875" style="31" customWidth="1"/>
    <col min="32" max="32" width="11.421875" style="31" customWidth="1"/>
    <col min="41" max="41" width="11.421875" style="31" customWidth="1"/>
  </cols>
  <sheetData>
    <row r="2" spans="2:27" ht="12.75">
      <c r="B2" s="37" t="s">
        <v>61</v>
      </c>
      <c r="E2" s="29"/>
      <c r="F2" s="29"/>
      <c r="G2" s="29"/>
      <c r="H2" s="29"/>
      <c r="I2" s="29"/>
      <c r="J2" s="29"/>
      <c r="K2" s="29"/>
      <c r="L2" s="29"/>
      <c r="M2" s="29"/>
      <c r="N2" s="36"/>
      <c r="O2" s="29"/>
      <c r="P2" s="29"/>
      <c r="Q2" s="29"/>
      <c r="R2" s="29"/>
      <c r="S2" s="29"/>
      <c r="T2" s="29"/>
      <c r="U2" s="29"/>
      <c r="V2" s="29"/>
      <c r="W2" s="30"/>
      <c r="X2" s="29"/>
      <c r="Y2" s="29"/>
      <c r="Z2" s="29"/>
      <c r="AA2" s="29"/>
    </row>
    <row r="3" spans="2:44" ht="12.75">
      <c r="B3">
        <v>1.2589254117941673</v>
      </c>
      <c r="C3">
        <v>10</v>
      </c>
      <c r="E3">
        <v>1.2589254117941673</v>
      </c>
      <c r="F3">
        <v>1.5848931924611136</v>
      </c>
      <c r="G3">
        <v>1.9952623149688797</v>
      </c>
      <c r="H3">
        <v>2.5118864315095806</v>
      </c>
      <c r="I3">
        <v>3.1622776601683795</v>
      </c>
      <c r="J3">
        <v>3.9810717055349727</v>
      </c>
      <c r="K3">
        <v>5.011872336272723</v>
      </c>
      <c r="L3">
        <v>6.309573444801934</v>
      </c>
      <c r="M3">
        <v>7.943282347242818</v>
      </c>
      <c r="N3" s="22">
        <v>10</v>
      </c>
      <c r="O3">
        <v>15.848931924611136</v>
      </c>
      <c r="P3">
        <v>19.952623149688797</v>
      </c>
      <c r="Q3">
        <v>25.118864315095806</v>
      </c>
      <c r="R3">
        <v>31.622776601683796</v>
      </c>
      <c r="S3">
        <v>39.81071705534973</v>
      </c>
      <c r="T3">
        <v>50.11872336272723</v>
      </c>
      <c r="U3">
        <v>63.09573444801934</v>
      </c>
      <c r="V3">
        <v>79.43282347242817</v>
      </c>
      <c r="W3" s="31">
        <v>100</v>
      </c>
      <c r="X3">
        <v>158.48931924611136</v>
      </c>
      <c r="Y3">
        <v>199.526231496888</v>
      </c>
      <c r="Z3">
        <v>251.18864315095806</v>
      </c>
      <c r="AA3">
        <v>316.22776601683796</v>
      </c>
      <c r="AB3">
        <v>398.10717055349727</v>
      </c>
      <c r="AC3">
        <v>501.1872336272723</v>
      </c>
      <c r="AD3">
        <v>630.9573444801935</v>
      </c>
      <c r="AE3">
        <v>794.3282347242816</v>
      </c>
      <c r="AF3" s="31">
        <v>1000</v>
      </c>
      <c r="AG3">
        <v>1584.8931924611136</v>
      </c>
      <c r="AH3">
        <v>1995.2623149688798</v>
      </c>
      <c r="AI3">
        <v>2511.8864315095807</v>
      </c>
      <c r="AJ3">
        <v>3162.2776601683795</v>
      </c>
      <c r="AK3">
        <v>3981.071705534973</v>
      </c>
      <c r="AL3">
        <v>5011.872336272723</v>
      </c>
      <c r="AM3">
        <v>6309.573444801935</v>
      </c>
      <c r="AN3">
        <v>7943.282347242816</v>
      </c>
      <c r="AO3" s="31">
        <v>10000</v>
      </c>
      <c r="AP3">
        <v>15848.931924611135</v>
      </c>
      <c r="AQ3">
        <v>19952.6231496888</v>
      </c>
      <c r="AR3">
        <v>25118.86431509581</v>
      </c>
    </row>
    <row r="4" spans="2:44" ht="12.75">
      <c r="B4">
        <v>1.5848931924611136</v>
      </c>
      <c r="C4">
        <v>13</v>
      </c>
      <c r="M4">
        <v>7.943282347242818</v>
      </c>
      <c r="N4" s="22">
        <v>10</v>
      </c>
      <c r="O4">
        <v>15.848931924611136</v>
      </c>
      <c r="P4">
        <v>19.952623149688797</v>
      </c>
      <c r="Q4">
        <v>25.118864315095806</v>
      </c>
      <c r="R4">
        <v>31.622776601683796</v>
      </c>
      <c r="S4">
        <v>39.81071705534973</v>
      </c>
      <c r="T4">
        <v>50.11872336272723</v>
      </c>
      <c r="U4">
        <v>63.09573444801934</v>
      </c>
      <c r="V4">
        <v>79.43282347242817</v>
      </c>
      <c r="W4" s="31">
        <v>100</v>
      </c>
      <c r="X4">
        <v>158.48931924611136</v>
      </c>
      <c r="Y4">
        <v>199.526231496888</v>
      </c>
      <c r="Z4">
        <v>251.18864315095806</v>
      </c>
      <c r="AA4">
        <v>316.22776601683796</v>
      </c>
      <c r="AB4">
        <v>398.10717055349727</v>
      </c>
      <c r="AC4">
        <v>501.1872336272723</v>
      </c>
      <c r="AD4">
        <v>630.9573444801935</v>
      </c>
      <c r="AE4">
        <v>794.3282347242816</v>
      </c>
      <c r="AF4" s="31">
        <v>1000</v>
      </c>
      <c r="AG4">
        <v>1584.8931924611136</v>
      </c>
      <c r="AH4">
        <v>1995.2623149688798</v>
      </c>
      <c r="AI4">
        <v>2511.8864315095807</v>
      </c>
      <c r="AJ4">
        <v>3162.2776601683795</v>
      </c>
      <c r="AK4">
        <v>3981.071705534973</v>
      </c>
      <c r="AL4">
        <v>5011.872336272723</v>
      </c>
      <c r="AM4">
        <v>6309.573444801935</v>
      </c>
      <c r="AN4">
        <v>7943.282347242816</v>
      </c>
      <c r="AO4" s="31">
        <v>10000</v>
      </c>
      <c r="AP4">
        <v>15848.931924611135</v>
      </c>
      <c r="AQ4">
        <v>19952.6231496888</v>
      </c>
      <c r="AR4">
        <v>25118.86431509581</v>
      </c>
    </row>
    <row r="5" spans="2:44" ht="12.75">
      <c r="B5">
        <v>1.9952623149688797</v>
      </c>
      <c r="C5">
        <v>18</v>
      </c>
      <c r="M5">
        <v>7.943282347242818</v>
      </c>
      <c r="N5" s="22">
        <v>10</v>
      </c>
      <c r="O5">
        <v>15.848931924611136</v>
      </c>
      <c r="P5">
        <v>19.952623149688797</v>
      </c>
      <c r="Q5">
        <v>25.118864315095806</v>
      </c>
      <c r="R5">
        <v>31.622776601683796</v>
      </c>
      <c r="S5">
        <v>39.81071705534973</v>
      </c>
      <c r="T5">
        <v>50.11872336272723</v>
      </c>
      <c r="U5">
        <v>63.09573444801934</v>
      </c>
      <c r="V5">
        <v>79.43282347242817</v>
      </c>
      <c r="W5" s="31">
        <v>100</v>
      </c>
      <c r="X5">
        <v>158.48931924611136</v>
      </c>
      <c r="Y5">
        <v>199.526231496888</v>
      </c>
      <c r="Z5">
        <v>251.18864315095806</v>
      </c>
      <c r="AA5">
        <v>316.22776601683796</v>
      </c>
      <c r="AB5">
        <v>398.10717055349727</v>
      </c>
      <c r="AC5">
        <v>501.1872336272723</v>
      </c>
      <c r="AD5">
        <v>630.9573444801935</v>
      </c>
      <c r="AE5">
        <v>794.3282347242816</v>
      </c>
      <c r="AF5" s="31">
        <v>1000</v>
      </c>
      <c r="AG5">
        <v>1584.8931924611136</v>
      </c>
      <c r="AH5">
        <v>1995.2623149688798</v>
      </c>
      <c r="AI5">
        <v>2511.8864315095807</v>
      </c>
      <c r="AJ5">
        <v>3162.2776601683795</v>
      </c>
      <c r="AK5">
        <v>3981.071705534973</v>
      </c>
      <c r="AL5">
        <v>5011.872336272723</v>
      </c>
      <c r="AM5">
        <v>6309.573444801935</v>
      </c>
      <c r="AN5">
        <v>7943.282347242816</v>
      </c>
      <c r="AO5" s="31">
        <v>10000</v>
      </c>
      <c r="AP5">
        <v>15848.931924611135</v>
      </c>
      <c r="AQ5">
        <v>19952.6231496888</v>
      </c>
      <c r="AR5">
        <v>25118.86431509581</v>
      </c>
    </row>
    <row r="6" spans="2:44" ht="12.75">
      <c r="B6">
        <v>2.5118864315095806</v>
      </c>
      <c r="C6">
        <v>24</v>
      </c>
      <c r="D6" t="s">
        <v>59</v>
      </c>
      <c r="E6">
        <v>1</v>
      </c>
      <c r="F6">
        <v>1.3</v>
      </c>
      <c r="G6">
        <v>1.8</v>
      </c>
      <c r="H6">
        <v>2.4</v>
      </c>
      <c r="I6">
        <v>3.2</v>
      </c>
      <c r="J6">
        <v>4.5</v>
      </c>
      <c r="K6">
        <v>5.6</v>
      </c>
      <c r="L6">
        <v>7.5</v>
      </c>
      <c r="M6">
        <v>10</v>
      </c>
      <c r="N6" s="22">
        <v>13</v>
      </c>
      <c r="O6">
        <v>18</v>
      </c>
      <c r="P6">
        <v>24</v>
      </c>
      <c r="Q6">
        <v>32</v>
      </c>
      <c r="R6">
        <v>45</v>
      </c>
      <c r="S6">
        <v>56</v>
      </c>
      <c r="T6">
        <v>75</v>
      </c>
      <c r="U6">
        <v>100</v>
      </c>
      <c r="V6">
        <f>N6*10</f>
        <v>130</v>
      </c>
      <c r="W6">
        <f aca="true" t="shared" si="0" ref="W6:AE6">O6*10</f>
        <v>180</v>
      </c>
      <c r="X6">
        <f t="shared" si="0"/>
        <v>240</v>
      </c>
      <c r="Y6">
        <f t="shared" si="0"/>
        <v>320</v>
      </c>
      <c r="Z6">
        <f t="shared" si="0"/>
        <v>450</v>
      </c>
      <c r="AA6">
        <f t="shared" si="0"/>
        <v>560</v>
      </c>
      <c r="AB6">
        <f t="shared" si="0"/>
        <v>750</v>
      </c>
      <c r="AC6">
        <f t="shared" si="0"/>
        <v>1000</v>
      </c>
      <c r="AD6">
        <f t="shared" si="0"/>
        <v>1300</v>
      </c>
      <c r="AE6">
        <f t="shared" si="0"/>
        <v>1800</v>
      </c>
      <c r="AF6">
        <f aca="true" t="shared" si="1" ref="AF6:AR6">X6*10</f>
        <v>2400</v>
      </c>
      <c r="AG6">
        <f t="shared" si="1"/>
        <v>3200</v>
      </c>
      <c r="AH6">
        <f t="shared" si="1"/>
        <v>4500</v>
      </c>
      <c r="AI6">
        <f t="shared" si="1"/>
        <v>5600</v>
      </c>
      <c r="AJ6">
        <f t="shared" si="1"/>
        <v>7500</v>
      </c>
      <c r="AK6">
        <f t="shared" si="1"/>
        <v>10000</v>
      </c>
      <c r="AL6">
        <f t="shared" si="1"/>
        <v>13000</v>
      </c>
      <c r="AM6">
        <f t="shared" si="1"/>
        <v>18000</v>
      </c>
      <c r="AN6">
        <f t="shared" si="1"/>
        <v>24000</v>
      </c>
      <c r="AO6">
        <f t="shared" si="1"/>
        <v>32000</v>
      </c>
      <c r="AP6">
        <f t="shared" si="1"/>
        <v>45000</v>
      </c>
      <c r="AQ6">
        <f t="shared" si="1"/>
        <v>56000</v>
      </c>
      <c r="AR6">
        <f t="shared" si="1"/>
        <v>75000</v>
      </c>
    </row>
    <row r="7" spans="2:44" ht="12.75">
      <c r="B7">
        <v>3.1622776601683795</v>
      </c>
      <c r="C7">
        <v>32</v>
      </c>
      <c r="D7" t="s">
        <v>29</v>
      </c>
      <c r="E7">
        <f aca="true" t="shared" si="2" ref="E7:L7">E6*2*PI()</f>
        <v>6.283185307179586</v>
      </c>
      <c r="F7">
        <f t="shared" si="2"/>
        <v>8.168140899333462</v>
      </c>
      <c r="G7">
        <f t="shared" si="2"/>
        <v>11.309733552923255</v>
      </c>
      <c r="H7">
        <f t="shared" si="2"/>
        <v>15.079644737231007</v>
      </c>
      <c r="I7">
        <f t="shared" si="2"/>
        <v>20.106192982974676</v>
      </c>
      <c r="J7">
        <f t="shared" si="2"/>
        <v>28.274333882308138</v>
      </c>
      <c r="K7">
        <f t="shared" si="2"/>
        <v>35.18583772020568</v>
      </c>
      <c r="L7">
        <f t="shared" si="2"/>
        <v>47.12388980384689</v>
      </c>
      <c r="M7">
        <f aca="true" t="shared" si="3" ref="M7:AR7">M6*2*PI()</f>
        <v>62.83185307179586</v>
      </c>
      <c r="N7" s="22">
        <f t="shared" si="3"/>
        <v>81.68140899333463</v>
      </c>
      <c r="O7">
        <f t="shared" si="3"/>
        <v>113.09733552923255</v>
      </c>
      <c r="P7">
        <f t="shared" si="3"/>
        <v>150.79644737231007</v>
      </c>
      <c r="Q7">
        <f t="shared" si="3"/>
        <v>201.06192982974676</v>
      </c>
      <c r="R7">
        <f t="shared" si="3"/>
        <v>282.7433388230814</v>
      </c>
      <c r="S7">
        <f t="shared" si="3"/>
        <v>351.85837720205683</v>
      </c>
      <c r="T7">
        <f t="shared" si="3"/>
        <v>471.23889803846896</v>
      </c>
      <c r="U7">
        <f t="shared" si="3"/>
        <v>628.3185307179587</v>
      </c>
      <c r="V7">
        <f t="shared" si="3"/>
        <v>816.8140899333462</v>
      </c>
      <c r="W7">
        <f t="shared" si="3"/>
        <v>1130.9733552923256</v>
      </c>
      <c r="X7">
        <f t="shared" si="3"/>
        <v>1507.9644737231006</v>
      </c>
      <c r="Y7">
        <f t="shared" si="3"/>
        <v>2010.6192982974676</v>
      </c>
      <c r="Z7">
        <f t="shared" si="3"/>
        <v>2827.4333882308138</v>
      </c>
      <c r="AA7">
        <f t="shared" si="3"/>
        <v>3518.583772020568</v>
      </c>
      <c r="AB7">
        <f t="shared" si="3"/>
        <v>4712.38898038469</v>
      </c>
      <c r="AC7">
        <f t="shared" si="3"/>
        <v>6283.185307179586</v>
      </c>
      <c r="AD7">
        <f t="shared" si="3"/>
        <v>8168.140899333462</v>
      </c>
      <c r="AE7">
        <f t="shared" si="3"/>
        <v>11309.733552923255</v>
      </c>
      <c r="AF7">
        <f t="shared" si="3"/>
        <v>15079.644737231007</v>
      </c>
      <c r="AG7">
        <f t="shared" si="3"/>
        <v>20106.192982974677</v>
      </c>
      <c r="AH7">
        <f t="shared" si="3"/>
        <v>28274.33388230814</v>
      </c>
      <c r="AI7">
        <f t="shared" si="3"/>
        <v>35185.83772020568</v>
      </c>
      <c r="AJ7">
        <f t="shared" si="3"/>
        <v>47123.8898038469</v>
      </c>
      <c r="AK7">
        <f t="shared" si="3"/>
        <v>62831.853071795864</v>
      </c>
      <c r="AL7">
        <f t="shared" si="3"/>
        <v>81681.40899333463</v>
      </c>
      <c r="AM7">
        <f t="shared" si="3"/>
        <v>113097.33552923256</v>
      </c>
      <c r="AN7">
        <f t="shared" si="3"/>
        <v>150796.44737231007</v>
      </c>
      <c r="AO7">
        <f t="shared" si="3"/>
        <v>201061.92982974675</v>
      </c>
      <c r="AP7">
        <f t="shared" si="3"/>
        <v>282743.3388230814</v>
      </c>
      <c r="AQ7">
        <f t="shared" si="3"/>
        <v>351858.3772020568</v>
      </c>
      <c r="AR7">
        <f t="shared" si="3"/>
        <v>471238.89803846896</v>
      </c>
    </row>
    <row r="8" spans="2:44" ht="12.75">
      <c r="B8">
        <v>3.9810717055349727</v>
      </c>
      <c r="C8">
        <v>45</v>
      </c>
      <c r="D8" t="s">
        <v>31</v>
      </c>
      <c r="E8">
        <f>mu*Rch</f>
        <v>8947368.421052631</v>
      </c>
      <c r="F8">
        <f aca="true" t="shared" si="4" ref="F8:AR8">mu*Rch</f>
        <v>8947368.421052631</v>
      </c>
      <c r="G8">
        <f t="shared" si="4"/>
        <v>8947368.421052631</v>
      </c>
      <c r="H8">
        <f t="shared" si="4"/>
        <v>8947368.421052631</v>
      </c>
      <c r="I8">
        <f t="shared" si="4"/>
        <v>8947368.421052631</v>
      </c>
      <c r="J8">
        <f t="shared" si="4"/>
        <v>8947368.421052631</v>
      </c>
      <c r="K8">
        <f t="shared" si="4"/>
        <v>8947368.421052631</v>
      </c>
      <c r="L8">
        <f t="shared" si="4"/>
        <v>8947368.421052631</v>
      </c>
      <c r="M8">
        <f t="shared" si="4"/>
        <v>8947368.421052631</v>
      </c>
      <c r="N8">
        <f t="shared" si="4"/>
        <v>8947368.421052631</v>
      </c>
      <c r="O8">
        <f t="shared" si="4"/>
        <v>8947368.421052631</v>
      </c>
      <c r="P8">
        <f t="shared" si="4"/>
        <v>8947368.421052631</v>
      </c>
      <c r="Q8">
        <f t="shared" si="4"/>
        <v>8947368.421052631</v>
      </c>
      <c r="R8">
        <f t="shared" si="4"/>
        <v>8947368.421052631</v>
      </c>
      <c r="S8">
        <f t="shared" si="4"/>
        <v>8947368.421052631</v>
      </c>
      <c r="T8">
        <f t="shared" si="4"/>
        <v>8947368.421052631</v>
      </c>
      <c r="U8">
        <f t="shared" si="4"/>
        <v>8947368.421052631</v>
      </c>
      <c r="V8">
        <f t="shared" si="4"/>
        <v>8947368.421052631</v>
      </c>
      <c r="W8">
        <f t="shared" si="4"/>
        <v>8947368.421052631</v>
      </c>
      <c r="X8">
        <f t="shared" si="4"/>
        <v>8947368.421052631</v>
      </c>
      <c r="Y8">
        <f t="shared" si="4"/>
        <v>8947368.421052631</v>
      </c>
      <c r="Z8">
        <f t="shared" si="4"/>
        <v>8947368.421052631</v>
      </c>
      <c r="AA8">
        <f t="shared" si="4"/>
        <v>8947368.421052631</v>
      </c>
      <c r="AB8">
        <f t="shared" si="4"/>
        <v>8947368.421052631</v>
      </c>
      <c r="AC8">
        <f t="shared" si="4"/>
        <v>8947368.421052631</v>
      </c>
      <c r="AD8">
        <f t="shared" si="4"/>
        <v>8947368.421052631</v>
      </c>
      <c r="AE8">
        <f t="shared" si="4"/>
        <v>8947368.421052631</v>
      </c>
      <c r="AF8">
        <f t="shared" si="4"/>
        <v>8947368.421052631</v>
      </c>
      <c r="AG8">
        <f t="shared" si="4"/>
        <v>8947368.421052631</v>
      </c>
      <c r="AH8">
        <f t="shared" si="4"/>
        <v>8947368.421052631</v>
      </c>
      <c r="AI8">
        <f t="shared" si="4"/>
        <v>8947368.421052631</v>
      </c>
      <c r="AJ8">
        <f t="shared" si="4"/>
        <v>8947368.421052631</v>
      </c>
      <c r="AK8">
        <f t="shared" si="4"/>
        <v>8947368.421052631</v>
      </c>
      <c r="AL8">
        <f t="shared" si="4"/>
        <v>8947368.421052631</v>
      </c>
      <c r="AM8">
        <f t="shared" si="4"/>
        <v>8947368.421052631</v>
      </c>
      <c r="AN8">
        <f t="shared" si="4"/>
        <v>8947368.421052631</v>
      </c>
      <c r="AO8">
        <f t="shared" si="4"/>
        <v>8947368.421052631</v>
      </c>
      <c r="AP8">
        <f t="shared" si="4"/>
        <v>8947368.421052631</v>
      </c>
      <c r="AQ8">
        <f t="shared" si="4"/>
        <v>8947368.421052631</v>
      </c>
      <c r="AR8">
        <f t="shared" si="4"/>
        <v>8947368.421052631</v>
      </c>
    </row>
    <row r="9" spans="2:44" ht="12.75">
      <c r="B9">
        <v>5.011872336272723</v>
      </c>
      <c r="C9">
        <v>56</v>
      </c>
      <c r="E9">
        <f aca="true" t="shared" si="5" ref="E9:L9">E8*E8</f>
        <v>80055401662049.84</v>
      </c>
      <c r="F9">
        <f t="shared" si="5"/>
        <v>80055401662049.84</v>
      </c>
      <c r="G9">
        <f t="shared" si="5"/>
        <v>80055401662049.84</v>
      </c>
      <c r="H9">
        <f t="shared" si="5"/>
        <v>80055401662049.84</v>
      </c>
      <c r="I9">
        <f t="shared" si="5"/>
        <v>80055401662049.84</v>
      </c>
      <c r="J9">
        <f t="shared" si="5"/>
        <v>80055401662049.84</v>
      </c>
      <c r="K9">
        <f t="shared" si="5"/>
        <v>80055401662049.84</v>
      </c>
      <c r="L9">
        <f t="shared" si="5"/>
        <v>80055401662049.84</v>
      </c>
      <c r="M9">
        <f aca="true" t="shared" si="6" ref="M9:AR9">M8*M8</f>
        <v>80055401662049.84</v>
      </c>
      <c r="N9" s="22">
        <f t="shared" si="6"/>
        <v>80055401662049.84</v>
      </c>
      <c r="O9">
        <f t="shared" si="6"/>
        <v>80055401662049.84</v>
      </c>
      <c r="P9">
        <f t="shared" si="6"/>
        <v>80055401662049.84</v>
      </c>
      <c r="Q9">
        <f t="shared" si="6"/>
        <v>80055401662049.84</v>
      </c>
      <c r="R9">
        <f t="shared" si="6"/>
        <v>80055401662049.84</v>
      </c>
      <c r="S9">
        <f t="shared" si="6"/>
        <v>80055401662049.84</v>
      </c>
      <c r="T9">
        <f t="shared" si="6"/>
        <v>80055401662049.84</v>
      </c>
      <c r="U9">
        <f t="shared" si="6"/>
        <v>80055401662049.84</v>
      </c>
      <c r="V9">
        <f t="shared" si="6"/>
        <v>80055401662049.84</v>
      </c>
      <c r="W9">
        <f t="shared" si="6"/>
        <v>80055401662049.84</v>
      </c>
      <c r="X9">
        <f t="shared" si="6"/>
        <v>80055401662049.84</v>
      </c>
      <c r="Y9">
        <f t="shared" si="6"/>
        <v>80055401662049.84</v>
      </c>
      <c r="Z9">
        <f t="shared" si="6"/>
        <v>80055401662049.84</v>
      </c>
      <c r="AA9">
        <f t="shared" si="6"/>
        <v>80055401662049.84</v>
      </c>
      <c r="AB9">
        <f t="shared" si="6"/>
        <v>80055401662049.84</v>
      </c>
      <c r="AC9">
        <f t="shared" si="6"/>
        <v>80055401662049.84</v>
      </c>
      <c r="AD9">
        <f t="shared" si="6"/>
        <v>80055401662049.84</v>
      </c>
      <c r="AE9">
        <f t="shared" si="6"/>
        <v>80055401662049.84</v>
      </c>
      <c r="AF9">
        <f t="shared" si="6"/>
        <v>80055401662049.84</v>
      </c>
      <c r="AG9">
        <f t="shared" si="6"/>
        <v>80055401662049.84</v>
      </c>
      <c r="AH9">
        <f t="shared" si="6"/>
        <v>80055401662049.84</v>
      </c>
      <c r="AI9">
        <f t="shared" si="6"/>
        <v>80055401662049.84</v>
      </c>
      <c r="AJ9">
        <f t="shared" si="6"/>
        <v>80055401662049.84</v>
      </c>
      <c r="AK9">
        <f t="shared" si="6"/>
        <v>80055401662049.84</v>
      </c>
      <c r="AL9">
        <f t="shared" si="6"/>
        <v>80055401662049.84</v>
      </c>
      <c r="AM9">
        <f t="shared" si="6"/>
        <v>80055401662049.84</v>
      </c>
      <c r="AN9">
        <f t="shared" si="6"/>
        <v>80055401662049.84</v>
      </c>
      <c r="AO9">
        <f t="shared" si="6"/>
        <v>80055401662049.84</v>
      </c>
      <c r="AP9">
        <f t="shared" si="6"/>
        <v>80055401662049.84</v>
      </c>
      <c r="AQ9">
        <f t="shared" si="6"/>
        <v>80055401662049.84</v>
      </c>
      <c r="AR9">
        <f t="shared" si="6"/>
        <v>80055401662049.84</v>
      </c>
    </row>
    <row r="10" spans="2:44" ht="12.75">
      <c r="B10">
        <v>6.309573444801934</v>
      </c>
      <c r="C10">
        <v>75</v>
      </c>
      <c r="E10">
        <f aca="true" t="shared" si="7" ref="E10:L10">E7*E7*E9*Rk*Rk*Ck*Ck/1000000000000</f>
        <v>2261992203.257828</v>
      </c>
      <c r="F10">
        <f t="shared" si="7"/>
        <v>3822766823.505729</v>
      </c>
      <c r="G10">
        <f t="shared" si="7"/>
        <v>7328854738.555362</v>
      </c>
      <c r="H10">
        <f t="shared" si="7"/>
        <v>13029075090.765089</v>
      </c>
      <c r="I10">
        <f t="shared" si="7"/>
        <v>23162800161.360157</v>
      </c>
      <c r="J10">
        <f t="shared" si="7"/>
        <v>45805342115.971016</v>
      </c>
      <c r="K10">
        <f t="shared" si="7"/>
        <v>70936075494.1655</v>
      </c>
      <c r="L10">
        <f t="shared" si="7"/>
        <v>127237061433.2528</v>
      </c>
      <c r="M10">
        <f aca="true" t="shared" si="8" ref="M10:AR10">M7*M7*M9*Rk*Rk*Ck*Ck/1000000000000</f>
        <v>226199220325.78284</v>
      </c>
      <c r="N10" s="22">
        <f t="shared" si="8"/>
        <v>382276682350.573</v>
      </c>
      <c r="O10">
        <f t="shared" si="8"/>
        <v>732885473855.5363</v>
      </c>
      <c r="P10">
        <f t="shared" si="8"/>
        <v>1302907509076.5088</v>
      </c>
      <c r="Q10">
        <f t="shared" si="8"/>
        <v>2316280016136.016</v>
      </c>
      <c r="R10">
        <f t="shared" si="8"/>
        <v>4580534211597.101</v>
      </c>
      <c r="S10">
        <f t="shared" si="8"/>
        <v>7093607549416.55</v>
      </c>
      <c r="T10">
        <f t="shared" si="8"/>
        <v>12723706143325.281</v>
      </c>
      <c r="U10">
        <f t="shared" si="8"/>
        <v>22619922032578.29</v>
      </c>
      <c r="V10">
        <f t="shared" si="8"/>
        <v>38227668235057.3</v>
      </c>
      <c r="W10">
        <f t="shared" si="8"/>
        <v>73288547385553.61</v>
      </c>
      <c r="X10">
        <f t="shared" si="8"/>
        <v>130290750907650.88</v>
      </c>
      <c r="Y10">
        <f t="shared" si="8"/>
        <v>231628001613601.62</v>
      </c>
      <c r="Z10">
        <f t="shared" si="8"/>
        <v>458053421159710.2</v>
      </c>
      <c r="AA10">
        <f t="shared" si="8"/>
        <v>709360754941654.6</v>
      </c>
      <c r="AB10">
        <f t="shared" si="8"/>
        <v>1272370614332528.2</v>
      </c>
      <c r="AC10">
        <f t="shared" si="8"/>
        <v>2261992203257827.5</v>
      </c>
      <c r="AD10">
        <f t="shared" si="8"/>
        <v>3822766823505729.5</v>
      </c>
      <c r="AE10">
        <f t="shared" si="8"/>
        <v>7328854738555363</v>
      </c>
      <c r="AF10">
        <f t="shared" si="8"/>
        <v>13029075090765088</v>
      </c>
      <c r="AG10">
        <f t="shared" si="8"/>
        <v>23162800161360170</v>
      </c>
      <c r="AH10">
        <f t="shared" si="8"/>
        <v>45805342115971020</v>
      </c>
      <c r="AI10">
        <f t="shared" si="8"/>
        <v>70936075494165470</v>
      </c>
      <c r="AJ10">
        <f t="shared" si="8"/>
        <v>1.2723706143325283E+17</v>
      </c>
      <c r="AK10">
        <f t="shared" si="8"/>
        <v>2.2619922032578282E+17</v>
      </c>
      <c r="AL10">
        <f t="shared" si="8"/>
        <v>3.82276682350573E+17</v>
      </c>
      <c r="AM10">
        <f t="shared" si="8"/>
        <v>7.328854738555364E+17</v>
      </c>
      <c r="AN10">
        <f t="shared" si="8"/>
        <v>1.302907509076509E+18</v>
      </c>
      <c r="AO10">
        <f t="shared" si="8"/>
        <v>2.3162800161360154E+18</v>
      </c>
      <c r="AP10">
        <f t="shared" si="8"/>
        <v>4.580534211597102E+18</v>
      </c>
      <c r="AQ10">
        <f t="shared" si="8"/>
        <v>7.093607549416549E+18</v>
      </c>
      <c r="AR10">
        <f t="shared" si="8"/>
        <v>1.2723706143325282E+19</v>
      </c>
    </row>
    <row r="11" spans="2:44" ht="12.75">
      <c r="B11">
        <v>7.943282347242818</v>
      </c>
      <c r="C11">
        <v>100</v>
      </c>
      <c r="D11" t="s">
        <v>30</v>
      </c>
      <c r="E11">
        <f aca="true" t="shared" si="9" ref="E11:L11">SQRT(E10+E9)</f>
        <v>8947494.825606389</v>
      </c>
      <c r="F11">
        <f t="shared" si="9"/>
        <v>8947582.043707302</v>
      </c>
      <c r="G11">
        <f t="shared" si="9"/>
        <v>8947777.965326833</v>
      </c>
      <c r="H11">
        <f t="shared" si="9"/>
        <v>8948096.486803247</v>
      </c>
      <c r="I11">
        <f t="shared" si="9"/>
        <v>8948662.719211804</v>
      </c>
      <c r="J11">
        <f t="shared" si="9"/>
        <v>8949927.765304355</v>
      </c>
      <c r="K11">
        <f t="shared" si="9"/>
        <v>8951331.618119396</v>
      </c>
      <c r="L11">
        <f t="shared" si="9"/>
        <v>8954475.904455999</v>
      </c>
      <c r="M11">
        <f aca="true" t="shared" si="10" ref="M11:AR11">SQRT(M10+M9)</f>
        <v>8960000.049239712</v>
      </c>
      <c r="N11" s="22">
        <f t="shared" si="10"/>
        <v>8968705.499925863</v>
      </c>
      <c r="O11">
        <f t="shared" si="10"/>
        <v>8988230.478570594</v>
      </c>
      <c r="P11">
        <f t="shared" si="10"/>
        <v>9019884.099650415</v>
      </c>
      <c r="Q11">
        <f t="shared" si="10"/>
        <v>9075884.622348715</v>
      </c>
      <c r="R11">
        <f t="shared" si="10"/>
        <v>9199779.12091627</v>
      </c>
      <c r="S11">
        <f t="shared" si="10"/>
        <v>9335363.367939482</v>
      </c>
      <c r="T11">
        <f t="shared" si="10"/>
        <v>9632191.225540278</v>
      </c>
      <c r="U11">
        <f t="shared" si="10"/>
        <v>10132883.286341954</v>
      </c>
      <c r="V11">
        <f t="shared" si="10"/>
        <v>10875802.034659658</v>
      </c>
      <c r="W11">
        <f t="shared" si="10"/>
        <v>12383212.388051957</v>
      </c>
      <c r="X11">
        <f t="shared" si="10"/>
        <v>14503315.22686109</v>
      </c>
      <c r="Y11">
        <f t="shared" si="10"/>
        <v>17654557.578020796</v>
      </c>
      <c r="Z11">
        <f t="shared" si="10"/>
        <v>23197172.733369038</v>
      </c>
      <c r="AA11">
        <f t="shared" si="10"/>
        <v>28096550.617534965</v>
      </c>
      <c r="AB11">
        <f t="shared" si="10"/>
        <v>36775345.21924408</v>
      </c>
      <c r="AC11">
        <f t="shared" si="10"/>
        <v>48394706.372906916</v>
      </c>
      <c r="AD11">
        <f t="shared" si="10"/>
        <v>62472571.782885484</v>
      </c>
      <c r="AE11">
        <f t="shared" si="10"/>
        <v>86075026.22838643</v>
      </c>
      <c r="AF11">
        <f t="shared" si="10"/>
        <v>114495111.21627481</v>
      </c>
      <c r="AG11">
        <f t="shared" si="10"/>
        <v>152456077.48798412</v>
      </c>
      <c r="AH11">
        <f t="shared" si="10"/>
        <v>214208770.8699928</v>
      </c>
      <c r="AI11">
        <f t="shared" si="10"/>
        <v>266488519.25707328</v>
      </c>
      <c r="AJ11">
        <f t="shared" si="10"/>
        <v>356815241.87584096</v>
      </c>
      <c r="AK11">
        <f t="shared" si="10"/>
        <v>475688212.72703916</v>
      </c>
      <c r="AL11">
        <f t="shared" si="10"/>
        <v>618350012.3330112</v>
      </c>
      <c r="AM11">
        <f t="shared" si="10"/>
        <v>856134060.3300388</v>
      </c>
      <c r="AN11">
        <f t="shared" si="10"/>
        <v>1141484806.9414551</v>
      </c>
      <c r="AO11">
        <f t="shared" si="10"/>
        <v>1521959287.0828304</v>
      </c>
      <c r="AP11">
        <f t="shared" si="10"/>
        <v>2140236965.1510003</v>
      </c>
      <c r="AQ11">
        <f t="shared" si="10"/>
        <v>2663397755.6531453</v>
      </c>
      <c r="AR11">
        <f t="shared" si="10"/>
        <v>3567041659.236256</v>
      </c>
    </row>
    <row r="12" spans="2:41" ht="12.75">
      <c r="B12">
        <v>10</v>
      </c>
      <c r="C12">
        <f>C3/10</f>
        <v>1</v>
      </c>
      <c r="W12"/>
      <c r="AF12"/>
      <c r="AO12"/>
    </row>
    <row r="13" spans="2:44" ht="12.75">
      <c r="B13">
        <v>15.848931924611136</v>
      </c>
      <c r="C13">
        <f aca="true" t="shared" si="11" ref="C13:C19">C4/10</f>
        <v>1.3</v>
      </c>
      <c r="E13">
        <f aca="true" t="shared" si="12" ref="E13:L13">(Rch+rak)*E7*Rk*Ck/1000000</f>
        <v>807.8274814742615</v>
      </c>
      <c r="F13">
        <f t="shared" si="12"/>
        <v>1050.17572591654</v>
      </c>
      <c r="G13">
        <f t="shared" si="12"/>
        <v>1454.0894666536708</v>
      </c>
      <c r="H13">
        <f t="shared" si="12"/>
        <v>1938.7859555382277</v>
      </c>
      <c r="I13">
        <f t="shared" si="12"/>
        <v>2585.0479407176367</v>
      </c>
      <c r="J13">
        <f t="shared" si="12"/>
        <v>3635.223666634177</v>
      </c>
      <c r="K13">
        <f t="shared" si="12"/>
        <v>4523.8338962558655</v>
      </c>
      <c r="L13">
        <f t="shared" si="12"/>
        <v>6058.706111056961</v>
      </c>
      <c r="M13">
        <f aca="true" t="shared" si="13" ref="M13:AR13">(Rch+rak)*M7*Rk*Ck/1000000</f>
        <v>8078.274814742615</v>
      </c>
      <c r="N13" s="22">
        <f t="shared" si="13"/>
        <v>10501.757259165399</v>
      </c>
      <c r="O13">
        <f t="shared" si="13"/>
        <v>14540.894666536708</v>
      </c>
      <c r="P13">
        <f t="shared" si="13"/>
        <v>19387.859555382274</v>
      </c>
      <c r="Q13">
        <f t="shared" si="13"/>
        <v>25850.479407176368</v>
      </c>
      <c r="R13">
        <f t="shared" si="13"/>
        <v>36352.23666634177</v>
      </c>
      <c r="S13">
        <f t="shared" si="13"/>
        <v>45238.33896255864</v>
      </c>
      <c r="T13">
        <f t="shared" si="13"/>
        <v>60587.061110569615</v>
      </c>
      <c r="U13">
        <f t="shared" si="13"/>
        <v>80782.74814742616</v>
      </c>
      <c r="V13">
        <f t="shared" si="13"/>
        <v>105017.572591654</v>
      </c>
      <c r="W13">
        <f t="shared" si="13"/>
        <v>145408.94666536708</v>
      </c>
      <c r="X13">
        <f t="shared" si="13"/>
        <v>193878.59555382276</v>
      </c>
      <c r="Y13">
        <f t="shared" si="13"/>
        <v>258504.79407176367</v>
      </c>
      <c r="Z13">
        <f t="shared" si="13"/>
        <v>363522.36666341766</v>
      </c>
      <c r="AA13">
        <f t="shared" si="13"/>
        <v>452383.3896255865</v>
      </c>
      <c r="AB13">
        <f t="shared" si="13"/>
        <v>605870.6111056962</v>
      </c>
      <c r="AC13">
        <f t="shared" si="13"/>
        <v>807827.4814742616</v>
      </c>
      <c r="AD13">
        <f t="shared" si="13"/>
        <v>1050175.72591654</v>
      </c>
      <c r="AE13">
        <f t="shared" si="13"/>
        <v>1454089.4666536706</v>
      </c>
      <c r="AF13">
        <f t="shared" si="13"/>
        <v>1938785.9555382277</v>
      </c>
      <c r="AG13">
        <f t="shared" si="13"/>
        <v>2585047.940717637</v>
      </c>
      <c r="AH13">
        <f t="shared" si="13"/>
        <v>3635223.666634177</v>
      </c>
      <c r="AI13">
        <f t="shared" si="13"/>
        <v>4523833.896255864</v>
      </c>
      <c r="AJ13">
        <f t="shared" si="13"/>
        <v>6058706.111056962</v>
      </c>
      <c r="AK13">
        <f t="shared" si="13"/>
        <v>8078274.814742615</v>
      </c>
      <c r="AL13">
        <f t="shared" si="13"/>
        <v>10501757.2591654</v>
      </c>
      <c r="AM13">
        <f t="shared" si="13"/>
        <v>14540894.666536707</v>
      </c>
      <c r="AN13">
        <f t="shared" si="13"/>
        <v>19387859.555382278</v>
      </c>
      <c r="AO13">
        <f t="shared" si="13"/>
        <v>25850479.40717637</v>
      </c>
      <c r="AP13">
        <f t="shared" si="13"/>
        <v>36352236.666341774</v>
      </c>
      <c r="AQ13">
        <f t="shared" si="13"/>
        <v>45238338.96255865</v>
      </c>
      <c r="AR13">
        <f t="shared" si="13"/>
        <v>60587061.11056962</v>
      </c>
    </row>
    <row r="14" spans="2:44" ht="12.75">
      <c r="B14">
        <v>19.952623149688797</v>
      </c>
      <c r="C14">
        <f t="shared" si="11"/>
        <v>1.8</v>
      </c>
      <c r="E14">
        <f aca="true" t="shared" si="14" ref="E14:L14">E13*E13</f>
        <v>652585.2398250484</v>
      </c>
      <c r="F14">
        <f t="shared" si="14"/>
        <v>1102869.0553043317</v>
      </c>
      <c r="G14">
        <f t="shared" si="14"/>
        <v>2114376.1770331566</v>
      </c>
      <c r="H14">
        <f t="shared" si="14"/>
        <v>3758890.9813922783</v>
      </c>
      <c r="I14">
        <f t="shared" si="14"/>
        <v>6682472.855808495</v>
      </c>
      <c r="J14">
        <f t="shared" si="14"/>
        <v>13214851.10645723</v>
      </c>
      <c r="K14">
        <f t="shared" si="14"/>
        <v>20465073.120913524</v>
      </c>
      <c r="L14">
        <f t="shared" si="14"/>
        <v>36707919.74015897</v>
      </c>
      <c r="M14">
        <f aca="true" t="shared" si="15" ref="M14:AR14">M13*M13</f>
        <v>65258523.98250482</v>
      </c>
      <c r="N14" s="22">
        <f t="shared" si="15"/>
        <v>110286905.53043315</v>
      </c>
      <c r="O14">
        <f t="shared" si="15"/>
        <v>211437617.70331568</v>
      </c>
      <c r="P14">
        <f t="shared" si="15"/>
        <v>375889098.13922775</v>
      </c>
      <c r="Q14">
        <f t="shared" si="15"/>
        <v>668247285.5808495</v>
      </c>
      <c r="R14">
        <f t="shared" si="15"/>
        <v>1321485110.645723</v>
      </c>
      <c r="S14">
        <f t="shared" si="15"/>
        <v>2046507312.0913513</v>
      </c>
      <c r="T14">
        <f t="shared" si="15"/>
        <v>3670791974.0158973</v>
      </c>
      <c r="U14">
        <f t="shared" si="15"/>
        <v>6525852398.250484</v>
      </c>
      <c r="V14">
        <f t="shared" si="15"/>
        <v>11028690553.043316</v>
      </c>
      <c r="W14">
        <f t="shared" si="15"/>
        <v>21143761770.33157</v>
      </c>
      <c r="X14">
        <f t="shared" si="15"/>
        <v>37588909813.92278</v>
      </c>
      <c r="Y14">
        <f t="shared" si="15"/>
        <v>66824728558.08494</v>
      </c>
      <c r="Z14">
        <f t="shared" si="15"/>
        <v>132148511064.57227</v>
      </c>
      <c r="AA14">
        <f t="shared" si="15"/>
        <v>204650731209.13522</v>
      </c>
      <c r="AB14">
        <f t="shared" si="15"/>
        <v>367079197401.5897</v>
      </c>
      <c r="AC14">
        <f t="shared" si="15"/>
        <v>652585239825.0485</v>
      </c>
      <c r="AD14">
        <f t="shared" si="15"/>
        <v>1102869055304.3318</v>
      </c>
      <c r="AE14">
        <f t="shared" si="15"/>
        <v>2114376177033.1562</v>
      </c>
      <c r="AF14">
        <f t="shared" si="15"/>
        <v>3758890981392.279</v>
      </c>
      <c r="AG14">
        <f t="shared" si="15"/>
        <v>6682472855808.496</v>
      </c>
      <c r="AH14">
        <f t="shared" si="15"/>
        <v>13214851106457.229</v>
      </c>
      <c r="AI14">
        <f t="shared" si="15"/>
        <v>20465073120913.508</v>
      </c>
      <c r="AJ14">
        <f t="shared" si="15"/>
        <v>36707919740158.98</v>
      </c>
      <c r="AK14">
        <f t="shared" si="15"/>
        <v>65258523982504.836</v>
      </c>
      <c r="AL14">
        <f t="shared" si="15"/>
        <v>110286905530433.19</v>
      </c>
      <c r="AM14">
        <f t="shared" si="15"/>
        <v>211437617703315.66</v>
      </c>
      <c r="AN14">
        <f t="shared" si="15"/>
        <v>375889098139227.9</v>
      </c>
      <c r="AO14">
        <f t="shared" si="15"/>
        <v>668247285580849.6</v>
      </c>
      <c r="AP14">
        <f t="shared" si="15"/>
        <v>1321485110645723.2</v>
      </c>
      <c r="AQ14">
        <f t="shared" si="15"/>
        <v>2046507312091352</v>
      </c>
      <c r="AR14">
        <f t="shared" si="15"/>
        <v>3670791974015897.5</v>
      </c>
    </row>
    <row r="15" spans="2:41" ht="12.75">
      <c r="B15">
        <v>25.118864315095806</v>
      </c>
      <c r="C15">
        <f t="shared" si="11"/>
        <v>2.4</v>
      </c>
      <c r="W15"/>
      <c r="AF15"/>
      <c r="AO15"/>
    </row>
    <row r="16" spans="2:41" ht="12.75">
      <c r="B16">
        <v>31.622776601683796</v>
      </c>
      <c r="C16">
        <f t="shared" si="11"/>
        <v>3.2</v>
      </c>
      <c r="W16"/>
      <c r="AF16"/>
      <c r="AO16"/>
    </row>
    <row r="17" spans="2:44" ht="12.75">
      <c r="B17">
        <v>39.81071705534973</v>
      </c>
      <c r="C17">
        <f t="shared" si="11"/>
        <v>4.5</v>
      </c>
      <c r="E17">
        <f aca="true" t="shared" si="16" ref="E17:AR17">Rch+rak+(mu+1)*Rk</f>
        <v>333773.6842105263</v>
      </c>
      <c r="F17">
        <f t="shared" si="16"/>
        <v>333773.6842105263</v>
      </c>
      <c r="G17">
        <f t="shared" si="16"/>
        <v>333773.6842105263</v>
      </c>
      <c r="H17">
        <f t="shared" si="16"/>
        <v>333773.6842105263</v>
      </c>
      <c r="I17">
        <f t="shared" si="16"/>
        <v>333773.6842105263</v>
      </c>
      <c r="J17">
        <f t="shared" si="16"/>
        <v>333773.6842105263</v>
      </c>
      <c r="K17">
        <f t="shared" si="16"/>
        <v>333773.6842105263</v>
      </c>
      <c r="L17">
        <f t="shared" si="16"/>
        <v>333773.6842105263</v>
      </c>
      <c r="M17">
        <f t="shared" si="16"/>
        <v>333773.6842105263</v>
      </c>
      <c r="N17" s="22">
        <f t="shared" si="16"/>
        <v>333773.6842105263</v>
      </c>
      <c r="O17">
        <f t="shared" si="16"/>
        <v>333773.6842105263</v>
      </c>
      <c r="P17">
        <f t="shared" si="16"/>
        <v>333773.6842105263</v>
      </c>
      <c r="Q17">
        <f t="shared" si="16"/>
        <v>333773.6842105263</v>
      </c>
      <c r="R17">
        <f t="shared" si="16"/>
        <v>333773.6842105263</v>
      </c>
      <c r="S17">
        <f t="shared" si="16"/>
        <v>333773.6842105263</v>
      </c>
      <c r="T17">
        <f t="shared" si="16"/>
        <v>333773.6842105263</v>
      </c>
      <c r="U17">
        <f t="shared" si="16"/>
        <v>333773.6842105263</v>
      </c>
      <c r="V17">
        <f t="shared" si="16"/>
        <v>333773.6842105263</v>
      </c>
      <c r="W17">
        <f t="shared" si="16"/>
        <v>333773.6842105263</v>
      </c>
      <c r="X17">
        <f t="shared" si="16"/>
        <v>333773.6842105263</v>
      </c>
      <c r="Y17">
        <f t="shared" si="16"/>
        <v>333773.6842105263</v>
      </c>
      <c r="Z17">
        <f t="shared" si="16"/>
        <v>333773.6842105263</v>
      </c>
      <c r="AA17">
        <f t="shared" si="16"/>
        <v>333773.6842105263</v>
      </c>
      <c r="AB17">
        <f t="shared" si="16"/>
        <v>333773.6842105263</v>
      </c>
      <c r="AC17">
        <f t="shared" si="16"/>
        <v>333773.6842105263</v>
      </c>
      <c r="AD17">
        <f t="shared" si="16"/>
        <v>333773.6842105263</v>
      </c>
      <c r="AE17">
        <f t="shared" si="16"/>
        <v>333773.6842105263</v>
      </c>
      <c r="AF17">
        <f t="shared" si="16"/>
        <v>333773.6842105263</v>
      </c>
      <c r="AG17">
        <f t="shared" si="16"/>
        <v>333773.6842105263</v>
      </c>
      <c r="AH17">
        <f t="shared" si="16"/>
        <v>333773.6842105263</v>
      </c>
      <c r="AI17">
        <f t="shared" si="16"/>
        <v>333773.6842105263</v>
      </c>
      <c r="AJ17">
        <f t="shared" si="16"/>
        <v>333773.6842105263</v>
      </c>
      <c r="AK17">
        <f t="shared" si="16"/>
        <v>333773.6842105263</v>
      </c>
      <c r="AL17">
        <f t="shared" si="16"/>
        <v>333773.6842105263</v>
      </c>
      <c r="AM17">
        <f t="shared" si="16"/>
        <v>333773.6842105263</v>
      </c>
      <c r="AN17">
        <f t="shared" si="16"/>
        <v>333773.6842105263</v>
      </c>
      <c r="AO17">
        <f t="shared" si="16"/>
        <v>333773.6842105263</v>
      </c>
      <c r="AP17">
        <f t="shared" si="16"/>
        <v>333773.6842105263</v>
      </c>
      <c r="AQ17">
        <f t="shared" si="16"/>
        <v>333773.6842105263</v>
      </c>
      <c r="AR17">
        <f t="shared" si="16"/>
        <v>333773.6842105263</v>
      </c>
    </row>
    <row r="18" spans="2:44" ht="12.75">
      <c r="B18">
        <v>50.11872336272723</v>
      </c>
      <c r="C18">
        <f t="shared" si="11"/>
        <v>5.6</v>
      </c>
      <c r="E18">
        <f aca="true" t="shared" si="17" ref="E18:L18">E17*E17</f>
        <v>111404872271.46812</v>
      </c>
      <c r="F18">
        <f t="shared" si="17"/>
        <v>111404872271.46812</v>
      </c>
      <c r="G18">
        <f t="shared" si="17"/>
        <v>111404872271.46812</v>
      </c>
      <c r="H18">
        <f t="shared" si="17"/>
        <v>111404872271.46812</v>
      </c>
      <c r="I18">
        <f t="shared" si="17"/>
        <v>111404872271.46812</v>
      </c>
      <c r="J18">
        <f t="shared" si="17"/>
        <v>111404872271.46812</v>
      </c>
      <c r="K18">
        <f t="shared" si="17"/>
        <v>111404872271.46812</v>
      </c>
      <c r="L18">
        <f t="shared" si="17"/>
        <v>111404872271.46812</v>
      </c>
      <c r="M18">
        <f aca="true" t="shared" si="18" ref="M18:AR18">M17*M17</f>
        <v>111404872271.46812</v>
      </c>
      <c r="N18" s="22">
        <f t="shared" si="18"/>
        <v>111404872271.46812</v>
      </c>
      <c r="O18">
        <f t="shared" si="18"/>
        <v>111404872271.46812</v>
      </c>
      <c r="P18">
        <f t="shared" si="18"/>
        <v>111404872271.46812</v>
      </c>
      <c r="Q18">
        <f t="shared" si="18"/>
        <v>111404872271.46812</v>
      </c>
      <c r="R18">
        <f t="shared" si="18"/>
        <v>111404872271.46812</v>
      </c>
      <c r="S18">
        <f t="shared" si="18"/>
        <v>111404872271.46812</v>
      </c>
      <c r="T18">
        <f t="shared" si="18"/>
        <v>111404872271.46812</v>
      </c>
      <c r="U18">
        <f t="shared" si="18"/>
        <v>111404872271.46812</v>
      </c>
      <c r="V18">
        <f t="shared" si="18"/>
        <v>111404872271.46812</v>
      </c>
      <c r="W18">
        <f t="shared" si="18"/>
        <v>111404872271.46812</v>
      </c>
      <c r="X18">
        <f t="shared" si="18"/>
        <v>111404872271.46812</v>
      </c>
      <c r="Y18">
        <f t="shared" si="18"/>
        <v>111404872271.46812</v>
      </c>
      <c r="Z18">
        <f t="shared" si="18"/>
        <v>111404872271.46812</v>
      </c>
      <c r="AA18">
        <f t="shared" si="18"/>
        <v>111404872271.46812</v>
      </c>
      <c r="AB18">
        <f t="shared" si="18"/>
        <v>111404872271.46812</v>
      </c>
      <c r="AC18">
        <f t="shared" si="18"/>
        <v>111404872271.46812</v>
      </c>
      <c r="AD18">
        <f t="shared" si="18"/>
        <v>111404872271.46812</v>
      </c>
      <c r="AE18">
        <f t="shared" si="18"/>
        <v>111404872271.46812</v>
      </c>
      <c r="AF18">
        <f t="shared" si="18"/>
        <v>111404872271.46812</v>
      </c>
      <c r="AG18">
        <f t="shared" si="18"/>
        <v>111404872271.46812</v>
      </c>
      <c r="AH18">
        <f t="shared" si="18"/>
        <v>111404872271.46812</v>
      </c>
      <c r="AI18">
        <f t="shared" si="18"/>
        <v>111404872271.46812</v>
      </c>
      <c r="AJ18">
        <f t="shared" si="18"/>
        <v>111404872271.46812</v>
      </c>
      <c r="AK18">
        <f t="shared" si="18"/>
        <v>111404872271.46812</v>
      </c>
      <c r="AL18">
        <f t="shared" si="18"/>
        <v>111404872271.46812</v>
      </c>
      <c r="AM18">
        <f t="shared" si="18"/>
        <v>111404872271.46812</v>
      </c>
      <c r="AN18">
        <f t="shared" si="18"/>
        <v>111404872271.46812</v>
      </c>
      <c r="AO18">
        <f t="shared" si="18"/>
        <v>111404872271.46812</v>
      </c>
      <c r="AP18">
        <f t="shared" si="18"/>
        <v>111404872271.46812</v>
      </c>
      <c r="AQ18">
        <f t="shared" si="18"/>
        <v>111404872271.46812</v>
      </c>
      <c r="AR18">
        <f t="shared" si="18"/>
        <v>111404872271.46812</v>
      </c>
    </row>
    <row r="19" spans="2:44" ht="12.75">
      <c r="B19">
        <v>63.09573444801934</v>
      </c>
      <c r="C19">
        <f t="shared" si="11"/>
        <v>7.5</v>
      </c>
      <c r="D19" t="s">
        <v>32</v>
      </c>
      <c r="E19">
        <f aca="true" t="shared" si="19" ref="E19:L19">SQRT(E14+E18)</f>
        <v>333774.6617955113</v>
      </c>
      <c r="F19">
        <f t="shared" si="19"/>
        <v>333775.33632748155</v>
      </c>
      <c r="G19">
        <f t="shared" si="19"/>
        <v>333776.8515754877</v>
      </c>
      <c r="H19">
        <f t="shared" si="19"/>
        <v>333779.3150607891</v>
      </c>
      <c r="I19">
        <f t="shared" si="19"/>
        <v>333783.69454532064</v>
      </c>
      <c r="J19">
        <f t="shared" si="19"/>
        <v>333793.4797484435</v>
      </c>
      <c r="K19">
        <f t="shared" si="19"/>
        <v>333804.33991275344</v>
      </c>
      <c r="L19">
        <f t="shared" si="19"/>
        <v>333828.6689174677</v>
      </c>
      <c r="M19">
        <f aca="true" t="shared" si="20" ref="M19:AR19">SQRT(M14+M18)</f>
        <v>333871.4285401652</v>
      </c>
      <c r="N19" s="22">
        <f t="shared" si="20"/>
        <v>333938.85544662</v>
      </c>
      <c r="O19">
        <f t="shared" si="20"/>
        <v>334090.27206605615</v>
      </c>
      <c r="P19">
        <f t="shared" si="20"/>
        <v>334336.2998084524</v>
      </c>
      <c r="Q19">
        <f t="shared" si="20"/>
        <v>334773.23602260824</v>
      </c>
      <c r="R19">
        <f t="shared" si="20"/>
        <v>335747.4607232553</v>
      </c>
      <c r="S19">
        <f t="shared" si="20"/>
        <v>336825.4437888555</v>
      </c>
      <c r="T19">
        <f t="shared" si="20"/>
        <v>339228.04165558604</v>
      </c>
      <c r="U19">
        <f t="shared" si="20"/>
        <v>343410.4318009554</v>
      </c>
      <c r="V19">
        <f t="shared" si="20"/>
        <v>349905.0768773032</v>
      </c>
      <c r="W19">
        <f t="shared" si="20"/>
        <v>364072.29232914676</v>
      </c>
      <c r="X19">
        <f t="shared" si="20"/>
        <v>385997.1270429236</v>
      </c>
      <c r="Y19">
        <f t="shared" si="20"/>
        <v>422172.4775841659</v>
      </c>
      <c r="Z19">
        <f t="shared" si="20"/>
        <v>493511.27984681405</v>
      </c>
      <c r="AA19">
        <f t="shared" si="20"/>
        <v>562188.2278032895</v>
      </c>
      <c r="AB19">
        <f t="shared" si="20"/>
        <v>691725.4293959836</v>
      </c>
      <c r="AC19">
        <f t="shared" si="20"/>
        <v>874065.2790818982</v>
      </c>
      <c r="AD19">
        <f t="shared" si="20"/>
        <v>1101940.9818932228</v>
      </c>
      <c r="AE19">
        <f t="shared" si="20"/>
        <v>1491905.174367535</v>
      </c>
      <c r="AF19">
        <f t="shared" si="20"/>
        <v>1967306.7512881022</v>
      </c>
      <c r="AG19">
        <f t="shared" si="20"/>
        <v>2606506.805684567</v>
      </c>
      <c r="AH19">
        <f t="shared" si="20"/>
        <v>3650514.4813750153</v>
      </c>
      <c r="AI19">
        <f t="shared" si="20"/>
        <v>4536130.288382927</v>
      </c>
      <c r="AJ19">
        <f t="shared" si="20"/>
        <v>6067892.930204887</v>
      </c>
      <c r="AK19">
        <f t="shared" si="20"/>
        <v>8085167.21254275</v>
      </c>
      <c r="AL19">
        <f t="shared" si="20"/>
        <v>10507060.026606143</v>
      </c>
      <c r="AM19">
        <f t="shared" si="20"/>
        <v>14544724.905462706</v>
      </c>
      <c r="AN19">
        <f t="shared" si="20"/>
        <v>19390732.400079664</v>
      </c>
      <c r="AO19">
        <f t="shared" si="20"/>
        <v>25852634.110533517</v>
      </c>
      <c r="AP19">
        <f t="shared" si="20"/>
        <v>36353768.9314051</v>
      </c>
      <c r="AQ19">
        <f t="shared" si="20"/>
        <v>45239570.25617754</v>
      </c>
      <c r="AR19">
        <f t="shared" si="20"/>
        <v>60587980.48200789</v>
      </c>
    </row>
    <row r="20" spans="2:41" ht="12.75">
      <c r="B20">
        <v>79.43282347242817</v>
      </c>
      <c r="C20">
        <f>C11/10</f>
        <v>10</v>
      </c>
      <c r="W20"/>
      <c r="AF20"/>
      <c r="AO20"/>
    </row>
    <row r="21" spans="2:44" ht="12.75">
      <c r="B21">
        <v>100</v>
      </c>
      <c r="D21" t="s">
        <v>57</v>
      </c>
      <c r="E21">
        <f aca="true" t="shared" si="21" ref="E21:L21">E11/E19</f>
        <v>26.80699241061059</v>
      </c>
      <c r="F21">
        <f t="shared" si="21"/>
        <v>26.80719954373273</v>
      </c>
      <c r="G21">
        <f t="shared" si="21"/>
        <v>26.807664830834394</v>
      </c>
      <c r="H21">
        <f t="shared" si="21"/>
        <v>26.808421262334925</v>
      </c>
      <c r="I21">
        <f t="shared" si="21"/>
        <v>26.809765921614748</v>
      </c>
      <c r="J21">
        <f t="shared" si="21"/>
        <v>26.81276989607251</v>
      </c>
      <c r="K21">
        <f t="shared" si="21"/>
        <v>26.816103171273955</v>
      </c>
      <c r="L21">
        <f t="shared" si="21"/>
        <v>26.823567710626463</v>
      </c>
      <c r="M21">
        <f aca="true" t="shared" si="22" ref="M21:AR21">M11/M19</f>
        <v>26.836678084185966</v>
      </c>
      <c r="N21" s="22">
        <f t="shared" si="22"/>
        <v>26.857328381061986</v>
      </c>
      <c r="O21">
        <f t="shared" si="22"/>
        <v>26.903598308882952</v>
      </c>
      <c r="P21">
        <f t="shared" si="22"/>
        <v>26.978476775683877</v>
      </c>
      <c r="Q21">
        <f t="shared" si="22"/>
        <v>27.11054423041092</v>
      </c>
      <c r="R21">
        <f t="shared" si="22"/>
        <v>27.400889648125503</v>
      </c>
      <c r="S21">
        <f t="shared" si="22"/>
        <v>27.71573092260662</v>
      </c>
      <c r="T21">
        <f t="shared" si="22"/>
        <v>28.394442801753165</v>
      </c>
      <c r="U21">
        <f t="shared" si="22"/>
        <v>29.506626322333414</v>
      </c>
      <c r="V21">
        <f t="shared" si="22"/>
        <v>31.08214985538303</v>
      </c>
      <c r="W21">
        <f t="shared" si="22"/>
        <v>34.01305907909264</v>
      </c>
      <c r="X21">
        <f t="shared" si="22"/>
        <v>37.573635166585824</v>
      </c>
      <c r="Y21">
        <f t="shared" si="22"/>
        <v>41.8183527240975</v>
      </c>
      <c r="Z21">
        <f t="shared" si="22"/>
        <v>47.00434150273007</v>
      </c>
      <c r="AA21">
        <f t="shared" si="22"/>
        <v>49.97712372477139</v>
      </c>
      <c r="AB21">
        <f t="shared" si="22"/>
        <v>53.16465703936373</v>
      </c>
      <c r="AC21">
        <f t="shared" si="22"/>
        <v>55.36738219797475</v>
      </c>
      <c r="AD21">
        <f t="shared" si="22"/>
        <v>56.69321026208918</v>
      </c>
      <c r="AE21">
        <f t="shared" si="22"/>
        <v>57.694703193771225</v>
      </c>
      <c r="AF21">
        <f t="shared" si="22"/>
        <v>58.19891134989938</v>
      </c>
      <c r="AG21">
        <f t="shared" si="22"/>
        <v>58.49057334340756</v>
      </c>
      <c r="AH21">
        <f t="shared" si="22"/>
        <v>58.679063447875485</v>
      </c>
      <c r="AI21">
        <f t="shared" si="22"/>
        <v>58.7479861280777</v>
      </c>
      <c r="AJ21">
        <f t="shared" si="22"/>
        <v>58.80381311602887</v>
      </c>
      <c r="AK21">
        <f t="shared" si="22"/>
        <v>58.834678395901385</v>
      </c>
      <c r="AL21">
        <f t="shared" si="22"/>
        <v>58.850906987036865</v>
      </c>
      <c r="AM21">
        <f t="shared" si="22"/>
        <v>58.862169335942</v>
      </c>
      <c r="AN21">
        <f t="shared" si="22"/>
        <v>58.867544731666015</v>
      </c>
      <c r="AO21">
        <f t="shared" si="22"/>
        <v>58.87056926484394</v>
      </c>
      <c r="AP21">
        <f t="shared" si="22"/>
        <v>58.87249185055209</v>
      </c>
      <c r="AQ21">
        <f t="shared" si="22"/>
        <v>58.873188683516595</v>
      </c>
      <c r="AR21">
        <f t="shared" si="22"/>
        <v>58.87375071521849</v>
      </c>
    </row>
    <row r="22" spans="2:44" ht="12.75">
      <c r="B22">
        <v>158.48931924611136</v>
      </c>
      <c r="D22" t="s">
        <v>58</v>
      </c>
      <c r="E22" s="28">
        <f aca="true" t="shared" si="23" ref="E22:L22">20*LOG(E21)</f>
        <v>28.564961827777097</v>
      </c>
      <c r="F22" s="28">
        <f t="shared" si="23"/>
        <v>28.565028941926307</v>
      </c>
      <c r="G22" s="28">
        <f t="shared" si="23"/>
        <v>28.56517969983505</v>
      </c>
      <c r="H22" s="28">
        <f t="shared" si="23"/>
        <v>28.56542478600271</v>
      </c>
      <c r="I22" s="28">
        <f t="shared" si="23"/>
        <v>28.56586044273492</v>
      </c>
      <c r="J22" s="28">
        <f t="shared" si="23"/>
        <v>28.56683362276996</v>
      </c>
      <c r="K22" s="28">
        <f t="shared" si="23"/>
        <v>28.567913356835373</v>
      </c>
      <c r="L22" s="28">
        <f t="shared" si="23"/>
        <v>28.570330827500925</v>
      </c>
      <c r="M22" s="28">
        <f aca="true" t="shared" si="24" ref="M22:AR22">20*LOG(M21)</f>
        <v>28.574575133818602</v>
      </c>
      <c r="N22" s="35">
        <f t="shared" si="24"/>
        <v>28.581256185217434</v>
      </c>
      <c r="O22" s="28">
        <f t="shared" si="24"/>
        <v>28.596207400183093</v>
      </c>
      <c r="P22" s="28">
        <f t="shared" si="24"/>
        <v>28.62034850894898</v>
      </c>
      <c r="Q22" s="28">
        <f t="shared" si="24"/>
        <v>28.66276471818438</v>
      </c>
      <c r="R22" s="28">
        <f t="shared" si="24"/>
        <v>28.755293273195626</v>
      </c>
      <c r="S22" s="28">
        <f t="shared" si="24"/>
        <v>28.85452672692175</v>
      </c>
      <c r="T22" s="28">
        <f t="shared" si="24"/>
        <v>29.064667014537658</v>
      </c>
      <c r="U22" s="28">
        <f t="shared" si="24"/>
        <v>29.398391134525017</v>
      </c>
      <c r="V22" s="28">
        <f t="shared" si="24"/>
        <v>29.850220999256724</v>
      </c>
      <c r="W22" s="28">
        <f t="shared" si="24"/>
        <v>30.63291386854238</v>
      </c>
      <c r="X22" s="28">
        <f t="shared" si="24"/>
        <v>31.497664282644905</v>
      </c>
      <c r="Y22" s="28">
        <f t="shared" si="24"/>
        <v>32.42733842858823</v>
      </c>
      <c r="Z22" s="28">
        <f t="shared" si="24"/>
        <v>33.44275945811884</v>
      </c>
      <c r="AA22" s="28">
        <f t="shared" si="24"/>
        <v>33.975425161296826</v>
      </c>
      <c r="AB22" s="28">
        <f t="shared" si="24"/>
        <v>34.51246033251394</v>
      </c>
      <c r="AC22" s="28">
        <f t="shared" si="24"/>
        <v>34.86507980603407</v>
      </c>
      <c r="AD22" s="28">
        <f t="shared" si="24"/>
        <v>35.07062099363372</v>
      </c>
      <c r="AE22" s="28">
        <f t="shared" si="24"/>
        <v>35.22271886993979</v>
      </c>
      <c r="AF22" s="28">
        <f t="shared" si="24"/>
        <v>35.2982972190619</v>
      </c>
      <c r="AG22" s="28">
        <f t="shared" si="24"/>
        <v>35.341717569566924</v>
      </c>
      <c r="AH22" s="28">
        <f t="shared" si="24"/>
        <v>35.36966347265954</v>
      </c>
      <c r="AI22" s="28">
        <f t="shared" si="24"/>
        <v>35.379859673018885</v>
      </c>
      <c r="AJ22" s="28">
        <f t="shared" si="24"/>
        <v>35.38810977375309</v>
      </c>
      <c r="AK22" s="28">
        <f t="shared" si="24"/>
        <v>35.39266767682251</v>
      </c>
      <c r="AL22" s="28">
        <f t="shared" si="24"/>
        <v>35.39506320813621</v>
      </c>
      <c r="AM22" s="28">
        <f t="shared" si="24"/>
        <v>35.39672527530851</v>
      </c>
      <c r="AN22" s="28">
        <f t="shared" si="24"/>
        <v>35.39751844964724</v>
      </c>
      <c r="AO22" s="28">
        <f t="shared" si="24"/>
        <v>35.39796470720147</v>
      </c>
      <c r="AP22" s="28">
        <f t="shared" si="24"/>
        <v>35.398248364975004</v>
      </c>
      <c r="AQ22" s="28">
        <f t="shared" si="24"/>
        <v>35.39835117323427</v>
      </c>
      <c r="AR22" s="28">
        <f t="shared" si="24"/>
        <v>35.39843409250776</v>
      </c>
    </row>
    <row r="23" spans="2:40" ht="12.75">
      <c r="B23">
        <v>199.526231496888</v>
      </c>
      <c r="E23" s="28">
        <f>FormulaireA!$L$6-3</f>
        <v>32.39853856956147</v>
      </c>
      <c r="F23" s="28">
        <f>FormulaireA!$L$6-3</f>
        <v>32.39853856956147</v>
      </c>
      <c r="G23" s="28">
        <f>FormulaireA!$L$6-3</f>
        <v>32.39853856956147</v>
      </c>
      <c r="H23" s="28">
        <f>FormulaireA!$L$6-3</f>
        <v>32.39853856956147</v>
      </c>
      <c r="I23" s="28">
        <f>FormulaireA!$L$6-3</f>
        <v>32.39853856956147</v>
      </c>
      <c r="J23" s="28">
        <f>FormulaireA!$L$6-3</f>
        <v>32.39853856956147</v>
      </c>
      <c r="K23" s="28">
        <f>FormulaireA!$L$6-3</f>
        <v>32.39853856956147</v>
      </c>
      <c r="L23" s="28">
        <f>FormulaireA!$L$6-3</f>
        <v>32.39853856956147</v>
      </c>
      <c r="M23" s="28">
        <f>FormulaireA!$L$6-3</f>
        <v>32.39853856956147</v>
      </c>
      <c r="N23" s="28">
        <f>FormulaireA!$L$6-3</f>
        <v>32.39853856956147</v>
      </c>
      <c r="O23" s="28">
        <f>FormulaireA!$L$6-3</f>
        <v>32.39853856956147</v>
      </c>
      <c r="P23" s="28">
        <f>FormulaireA!$L$6-3</f>
        <v>32.39853856956147</v>
      </c>
      <c r="Q23" s="28">
        <f>FormulaireA!$L$6-3</f>
        <v>32.39853856956147</v>
      </c>
      <c r="R23" s="28">
        <f>FormulaireA!$L$6-3</f>
        <v>32.39853856956147</v>
      </c>
      <c r="S23" s="28">
        <f>FormulaireA!$L$6-3</f>
        <v>32.39853856956147</v>
      </c>
      <c r="T23" s="28">
        <f>FormulaireA!$L$6-3</f>
        <v>32.39853856956147</v>
      </c>
      <c r="U23" s="28">
        <f>FormulaireA!$L$6-3</f>
        <v>32.39853856956147</v>
      </c>
      <c r="V23" s="28">
        <f>FormulaireA!$L$6-3</f>
        <v>32.39853856956147</v>
      </c>
      <c r="W23" s="28">
        <f>FormulaireA!$L$6-3</f>
        <v>32.39853856956147</v>
      </c>
      <c r="X23" s="28">
        <f>FormulaireA!$L$6-3</f>
        <v>32.39853856956147</v>
      </c>
      <c r="Y23" s="28">
        <f>FormulaireA!$L$6-3</f>
        <v>32.39853856956147</v>
      </c>
      <c r="Z23" s="28">
        <f>FormulaireA!$L$6-3</f>
        <v>32.39853856956147</v>
      </c>
      <c r="AA23" s="28">
        <f>FormulaireA!$L$6-3</f>
        <v>32.39853856956147</v>
      </c>
      <c r="AB23" s="28">
        <f>FormulaireA!$L$6-3</f>
        <v>32.39853856956147</v>
      </c>
      <c r="AC23" s="28">
        <f>FormulaireA!$L$6-3</f>
        <v>32.39853856956147</v>
      </c>
      <c r="AD23" s="28">
        <f>FormulaireA!$L$6-3</f>
        <v>32.39853856956147</v>
      </c>
      <c r="AE23" s="28">
        <f>FormulaireA!$L$6-3</f>
        <v>32.39853856956147</v>
      </c>
      <c r="AF23" s="28">
        <f>FormulaireA!$L$6-3</f>
        <v>32.39853856956147</v>
      </c>
      <c r="AG23" s="28">
        <f>FormulaireA!$L$6-3</f>
        <v>32.39853856956147</v>
      </c>
      <c r="AH23" s="28">
        <f>FormulaireA!$L$6-3</f>
        <v>32.39853856956147</v>
      </c>
      <c r="AI23" s="28">
        <f>FormulaireA!$L$6-3</f>
        <v>32.39853856956147</v>
      </c>
      <c r="AJ23" s="28">
        <f>FormulaireA!$L$6-3</f>
        <v>32.39853856956147</v>
      </c>
      <c r="AK23" s="28">
        <f>FormulaireA!$L$6-3</f>
        <v>32.39853856956147</v>
      </c>
      <c r="AL23" s="28">
        <f>FormulaireA!$L$6-3</f>
        <v>32.39853856956147</v>
      </c>
      <c r="AM23" s="28">
        <f>FormulaireA!$L$6-3</f>
        <v>32.39853856956147</v>
      </c>
      <c r="AN23" s="28">
        <f>FormulaireA!$L$6-3</f>
        <v>32.39853856956147</v>
      </c>
    </row>
    <row r="24" ht="12.75">
      <c r="B24">
        <v>251.18864315095806</v>
      </c>
    </row>
    <row r="25" ht="12.75">
      <c r="B25">
        <v>316.22776601683796</v>
      </c>
    </row>
    <row r="26" ht="12.75">
      <c r="B26">
        <v>398.10717055349727</v>
      </c>
    </row>
    <row r="27" ht="12.75">
      <c r="B27">
        <v>501.1872336272723</v>
      </c>
    </row>
    <row r="28" ht="12.75">
      <c r="B28">
        <v>630.9573444801935</v>
      </c>
    </row>
    <row r="29" ht="12.75">
      <c r="B29">
        <v>794.3282347242816</v>
      </c>
    </row>
    <row r="30" ht="12.75">
      <c r="B30">
        <v>1000</v>
      </c>
    </row>
    <row r="31" ht="12.75">
      <c r="B31">
        <v>1584.8931924611136</v>
      </c>
    </row>
    <row r="32" ht="12.75">
      <c r="B32">
        <v>1995.2623149688798</v>
      </c>
    </row>
    <row r="33" ht="12.75">
      <c r="B33">
        <v>2511.8864315095807</v>
      </c>
    </row>
    <row r="34" ht="12.75">
      <c r="B34">
        <v>3162.2776601683795</v>
      </c>
    </row>
    <row r="35" ht="12.75">
      <c r="B35">
        <v>3981.071705534973</v>
      </c>
    </row>
    <row r="36" ht="12.75">
      <c r="B36">
        <v>5011.872336272723</v>
      </c>
    </row>
    <row r="37" ht="12.75">
      <c r="B37">
        <v>6309.573444801935</v>
      </c>
    </row>
    <row r="38" ht="12.75">
      <c r="B38">
        <v>7943.282347242816</v>
      </c>
    </row>
    <row r="39" ht="12.75">
      <c r="B39">
        <v>10000</v>
      </c>
    </row>
    <row r="40" ht="12.75">
      <c r="B40">
        <v>15848.931924611135</v>
      </c>
    </row>
    <row r="41" ht="12.75">
      <c r="B41">
        <v>19952.6231496888</v>
      </c>
    </row>
  </sheetData>
  <sheetProtection sheet="1" objects="1" scenarios="1"/>
  <hyperlinks>
    <hyperlink ref="B2" location="FormulaireA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K37" sqref="K37"/>
    </sheetView>
  </sheetViews>
  <sheetFormatPr defaultColWidth="11.421875" defaultRowHeight="12.75"/>
  <cols>
    <col min="1" max="1" width="7.140625" style="2" customWidth="1"/>
    <col min="7" max="7" width="20.28125" style="2" customWidth="1"/>
    <col min="9" max="9" width="6.7109375" style="0" customWidth="1"/>
    <col min="10" max="10" width="4.7109375" style="0" customWidth="1"/>
    <col min="11" max="11" width="9.7109375" style="62" customWidth="1"/>
    <col min="12" max="12" width="15.28125" style="7" customWidth="1"/>
    <col min="13" max="13" width="6.57421875" style="7" customWidth="1"/>
    <col min="14" max="14" width="12.421875" style="0" customWidth="1"/>
  </cols>
  <sheetData>
    <row r="1" ht="12.75">
      <c r="A1" s="46" t="s">
        <v>70</v>
      </c>
    </row>
    <row r="2" spans="1:18" s="1" customFormat="1" ht="20.25" customHeight="1">
      <c r="A2" s="45"/>
      <c r="B2" s="88" t="s">
        <v>108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4" ht="12.75"/>
    <row r="5" spans="12:13" ht="13.5" thickBot="1">
      <c r="L5" s="77" t="s">
        <v>7</v>
      </c>
      <c r="M5" s="6"/>
    </row>
    <row r="6" spans="7:13" ht="13.5" thickBot="1">
      <c r="G6" s="2" t="s">
        <v>3</v>
      </c>
      <c r="H6" s="33">
        <v>100</v>
      </c>
      <c r="K6" s="62" t="s">
        <v>6</v>
      </c>
      <c r="L6" s="69">
        <f>20*LOG(mub*Rchb/(Rchb+rakb+(mub+1)*Rknd))</f>
        <v>33.03750064757938</v>
      </c>
      <c r="M6" s="67">
        <f>mub*Rchb/(Rchb+rakb+(mub+1)*Rknd)</f>
        <v>44.861628265992515</v>
      </c>
    </row>
    <row r="7" spans="12:13" ht="13.5" thickBot="1">
      <c r="L7" s="69"/>
      <c r="M7" s="67"/>
    </row>
    <row r="8" spans="7:13" ht="13.5" thickBot="1">
      <c r="G8" s="2" t="s">
        <v>0</v>
      </c>
      <c r="H8" s="33">
        <v>100000</v>
      </c>
      <c r="I8" t="s">
        <v>11</v>
      </c>
      <c r="L8" s="69"/>
      <c r="M8" s="67"/>
    </row>
    <row r="9" spans="12:13" ht="13.5" thickBot="1">
      <c r="L9" s="69"/>
      <c r="M9" s="67"/>
    </row>
    <row r="10" spans="7:13" ht="13.5" thickBot="1">
      <c r="G10" s="2" t="s">
        <v>1</v>
      </c>
      <c r="H10" s="33">
        <v>62500</v>
      </c>
      <c r="I10" t="s">
        <v>11</v>
      </c>
      <c r="K10" s="62" t="s">
        <v>9</v>
      </c>
      <c r="L10" s="69">
        <f>IF(K23="  SANS",0,L6-L15)</f>
        <v>4.908342859050155</v>
      </c>
      <c r="M10" s="67"/>
    </row>
    <row r="11" spans="7:13" ht="12.75">
      <c r="G11" s="2" t="s">
        <v>23</v>
      </c>
      <c r="L11" s="69"/>
      <c r="M11" s="67"/>
    </row>
    <row r="12" spans="12:13" ht="13.5" thickBot="1">
      <c r="L12" s="69"/>
      <c r="M12" s="67"/>
    </row>
    <row r="13" spans="1:13" ht="13.5" thickBot="1">
      <c r="A13" s="2" t="s">
        <v>77</v>
      </c>
      <c r="G13" s="2" t="s">
        <v>2</v>
      </c>
      <c r="H13" s="33">
        <v>850000</v>
      </c>
      <c r="I13" t="s">
        <v>11</v>
      </c>
      <c r="L13" s="69"/>
      <c r="M13" s="67"/>
    </row>
    <row r="14" spans="12:13" ht="12.75">
      <c r="L14" s="69"/>
      <c r="M14" s="67"/>
    </row>
    <row r="15" spans="11:13" ht="12.75">
      <c r="K15" s="62" t="s">
        <v>8</v>
      </c>
      <c r="L15" s="70">
        <f>IF(K23="  SANS",K23,20*LOG(mub*Rchb/(Rchb+rakb+(mub+1)*Rkb)))</f>
        <v>28.129157788529223</v>
      </c>
      <c r="M15" s="67">
        <f>IF(K23="  SANS","",(mub*Rchb/(Rchb+rakb+(mub+1)*Rkb)))</f>
        <v>25.495168665537882</v>
      </c>
    </row>
    <row r="16" spans="7:8" ht="12.75">
      <c r="G16" s="2" t="s">
        <v>13</v>
      </c>
      <c r="H16" s="9">
        <f>1/(1/RAb+1/ZLb)</f>
        <v>89473.6842105263</v>
      </c>
    </row>
    <row r="17" ht="13.5" thickBot="1"/>
    <row r="18" spans="7:9" ht="13.5" thickBot="1">
      <c r="G18" s="2" t="s">
        <v>74</v>
      </c>
      <c r="H18" s="3">
        <v>470</v>
      </c>
      <c r="I18" t="s">
        <v>11</v>
      </c>
    </row>
    <row r="19" ht="13.5" thickBot="1">
      <c r="A19" s="2" t="s">
        <v>78</v>
      </c>
    </row>
    <row r="20" spans="7:13" ht="13.5" thickBot="1">
      <c r="G20" s="2" t="s">
        <v>75</v>
      </c>
      <c r="H20" s="33">
        <v>1500</v>
      </c>
      <c r="I20" t="s">
        <v>11</v>
      </c>
      <c r="K20" s="78" t="s">
        <v>10</v>
      </c>
      <c r="L20" s="79"/>
      <c r="M20" s="63"/>
    </row>
    <row r="21" spans="11:15" ht="13.5" thickBot="1">
      <c r="K21" s="56" t="s">
        <v>104</v>
      </c>
      <c r="L21" s="57"/>
      <c r="M21" s="64"/>
      <c r="O21" s="37" t="s">
        <v>60</v>
      </c>
    </row>
    <row r="22" spans="7:15" ht="13.5" thickBot="1">
      <c r="G22" s="2" t="s">
        <v>5</v>
      </c>
      <c r="H22" s="50">
        <v>0.47</v>
      </c>
      <c r="I22" t="s">
        <v>12</v>
      </c>
      <c r="K22" s="74"/>
      <c r="L22" s="8"/>
      <c r="M22" s="63"/>
      <c r="O22" s="37" t="s">
        <v>63</v>
      </c>
    </row>
    <row r="23" spans="11:15" ht="12.75">
      <c r="K23" s="75">
        <f>CalcIntB!D56</f>
        <v>236.36510948230244</v>
      </c>
      <c r="L23" s="87" t="s">
        <v>105</v>
      </c>
      <c r="M23" s="65"/>
      <c r="O23" s="37" t="s">
        <v>64</v>
      </c>
    </row>
    <row r="24" spans="7:9" ht="18" customHeight="1" thickBot="1">
      <c r="G24" s="58" t="s">
        <v>25</v>
      </c>
      <c r="H24" s="59"/>
      <c r="I24" s="60"/>
    </row>
    <row r="25" spans="7:9" ht="13.5" thickBot="1">
      <c r="G25" s="11" t="s">
        <v>15</v>
      </c>
      <c r="H25" s="33">
        <v>1.7</v>
      </c>
      <c r="I25" s="12" t="s">
        <v>17</v>
      </c>
    </row>
    <row r="26" spans="7:14" ht="13.5" thickBot="1">
      <c r="G26" s="11"/>
      <c r="H26" s="10"/>
      <c r="I26" s="12"/>
      <c r="K26" s="80" t="s">
        <v>26</v>
      </c>
      <c r="L26" s="81"/>
      <c r="M26" s="81"/>
      <c r="N26" s="82"/>
    </row>
    <row r="27" spans="7:14" ht="13.5" thickBot="1">
      <c r="G27" s="11" t="s">
        <v>16</v>
      </c>
      <c r="H27" s="3">
        <v>1.6</v>
      </c>
      <c r="I27" s="12" t="s">
        <v>17</v>
      </c>
      <c r="K27" s="73"/>
      <c r="L27" s="16" t="s">
        <v>20</v>
      </c>
      <c r="M27" s="16"/>
      <c r="N27" s="17" t="s">
        <v>41</v>
      </c>
    </row>
    <row r="28" spans="7:14" ht="13.5" thickBot="1">
      <c r="G28" s="11"/>
      <c r="H28" s="10"/>
      <c r="I28" s="12"/>
      <c r="K28" s="74" t="s">
        <v>21</v>
      </c>
      <c r="L28" s="20">
        <f>IF(Cg_ab&lt;&gt;0,CalcIntB!D34/1000,"---")</f>
        <v>999.3959986098097</v>
      </c>
      <c r="M28" s="20"/>
      <c r="N28" s="25">
        <f>CalcIntB!H19/1000</f>
        <v>71.25869108734985</v>
      </c>
    </row>
    <row r="29" spans="7:14" ht="13.5" thickBot="1">
      <c r="G29" s="11" t="s">
        <v>18</v>
      </c>
      <c r="H29" s="33">
        <v>68000</v>
      </c>
      <c r="I29" s="12" t="s">
        <v>11</v>
      </c>
      <c r="K29" s="74" t="s">
        <v>22</v>
      </c>
      <c r="L29" s="20">
        <f>IF(Cg_ab&lt;&gt;0,CalcIntB!E34/1000,"---")</f>
        <v>837.0466726014403</v>
      </c>
      <c r="M29" s="20"/>
      <c r="N29" s="25">
        <f>CalcIntB!I19/1000</f>
        <v>55.40489367534485</v>
      </c>
    </row>
    <row r="30" spans="7:14" ht="13.5" thickBot="1">
      <c r="G30" s="11"/>
      <c r="H30" s="10"/>
      <c r="I30" s="12"/>
      <c r="K30" s="76" t="s">
        <v>24</v>
      </c>
      <c r="L30" s="21">
        <f>IF(Cg_ab&lt;&gt;0,CalcIntB!F34/1000,"---")</f>
        <v>156.04325715858803</v>
      </c>
      <c r="M30" s="21"/>
      <c r="N30" s="26">
        <f>CalcIntB!J19/1000</f>
        <v>52.40997673904012</v>
      </c>
    </row>
    <row r="31" spans="7:9" ht="13.5" thickBot="1">
      <c r="G31" s="11" t="s">
        <v>19</v>
      </c>
      <c r="H31" s="34">
        <v>1000000</v>
      </c>
      <c r="I31" s="12" t="s">
        <v>11</v>
      </c>
    </row>
    <row r="32" spans="7:14" ht="12.75">
      <c r="G32" s="13"/>
      <c r="H32" s="14"/>
      <c r="I32" s="15"/>
      <c r="J32" s="52"/>
      <c r="K32" s="83" t="s">
        <v>42</v>
      </c>
      <c r="L32" s="23"/>
      <c r="M32" s="23"/>
      <c r="N32" s="22"/>
    </row>
    <row r="33" spans="11:14" ht="12.75">
      <c r="K33" s="83" t="s">
        <v>43</v>
      </c>
      <c r="L33" s="23"/>
      <c r="M33" s="23"/>
      <c r="N33" s="22"/>
    </row>
    <row r="35" spans="7:9" ht="12.75">
      <c r="G35" s="2" t="s">
        <v>55</v>
      </c>
      <c r="H35" s="32">
        <f>IF((mub*rakb)&lt;&gt;0,1000*mub/rakb,"---")</f>
        <v>1.6</v>
      </c>
      <c r="I35" t="s">
        <v>56</v>
      </c>
    </row>
    <row r="37" spans="7:9" ht="12.75">
      <c r="G37" s="2" t="s">
        <v>76</v>
      </c>
      <c r="H37">
        <f>Rknd+Rkd</f>
        <v>1970</v>
      </c>
      <c r="I37" t="s">
        <v>11</v>
      </c>
    </row>
  </sheetData>
  <mergeCells count="4">
    <mergeCell ref="B2:R2"/>
    <mergeCell ref="K21:L21"/>
    <mergeCell ref="G24:I24"/>
    <mergeCell ref="K26:N26"/>
  </mergeCells>
  <hyperlinks>
    <hyperlink ref="O21" location="GraphGainB!A1" display="voir la courbe du gain"/>
    <hyperlink ref="O22" location="GraphZeB!A1" display="voir la courbe d'impédance d'entrée"/>
    <hyperlink ref="O23" location="GraphZsB!A1" display="voir la courbe d'impédance de sortie"/>
    <hyperlink ref="A1" location="Sommaire!A1" display="Retour au sommaire"/>
  </hyperlink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56"/>
  <sheetViews>
    <sheetView workbookViewId="0" topLeftCell="A22">
      <selection activeCell="D57" sqref="D57"/>
    </sheetView>
  </sheetViews>
  <sheetFormatPr defaultColWidth="11.421875" defaultRowHeight="12.75"/>
  <cols>
    <col min="3" max="3" width="17.140625" style="0" customWidth="1"/>
    <col min="4" max="4" width="14.140625" style="0" customWidth="1"/>
    <col min="8" max="8" width="12.421875" style="0" bestFit="1" customWidth="1"/>
    <col min="9" max="9" width="14.00390625" style="0" customWidth="1"/>
    <col min="10" max="10" width="12.7109375" style="0" customWidth="1"/>
    <col min="11" max="11" width="25.28125" style="52" customWidth="1"/>
  </cols>
  <sheetData>
    <row r="5" spans="1:2" ht="12.75">
      <c r="A5" s="2"/>
      <c r="B5" t="s">
        <v>14</v>
      </c>
    </row>
    <row r="6" ht="12.75">
      <c r="A6" s="2"/>
    </row>
    <row r="7" spans="1:10" ht="12.75">
      <c r="A7" s="2"/>
      <c r="D7" s="61" t="s">
        <v>28</v>
      </c>
      <c r="E7" s="61"/>
      <c r="F7" s="61"/>
      <c r="H7" s="61" t="s">
        <v>44</v>
      </c>
      <c r="I7" s="61"/>
      <c r="J7" s="61"/>
    </row>
    <row r="8" spans="1:10" ht="12.75">
      <c r="A8" s="2"/>
      <c r="D8">
        <v>100</v>
      </c>
      <c r="E8">
        <v>1000</v>
      </c>
      <c r="F8">
        <v>10000</v>
      </c>
      <c r="G8">
        <v>15000</v>
      </c>
      <c r="H8">
        <v>100</v>
      </c>
      <c r="I8">
        <v>1000</v>
      </c>
      <c r="J8">
        <v>10000</v>
      </c>
    </row>
    <row r="9" spans="1:11" ht="12.75">
      <c r="A9" s="2"/>
      <c r="C9" t="s">
        <v>29</v>
      </c>
      <c r="D9">
        <f aca="true" t="shared" si="0" ref="D9:J9">D8*2*PI()</f>
        <v>628.3185307179587</v>
      </c>
      <c r="E9">
        <f t="shared" si="0"/>
        <v>6283.185307179586</v>
      </c>
      <c r="F9">
        <f t="shared" si="0"/>
        <v>62831.853071795864</v>
      </c>
      <c r="G9">
        <f t="shared" si="0"/>
        <v>94247.7796076938</v>
      </c>
      <c r="H9">
        <f t="shared" si="0"/>
        <v>628.3185307179587</v>
      </c>
      <c r="I9">
        <f t="shared" si="0"/>
        <v>6283.185307179586</v>
      </c>
      <c r="J9">
        <f t="shared" si="0"/>
        <v>62831.853071795864</v>
      </c>
      <c r="K9" s="2" t="s">
        <v>29</v>
      </c>
    </row>
    <row r="10" spans="1:11" ht="12.75">
      <c r="A10" s="2"/>
      <c r="C10" t="s">
        <v>31</v>
      </c>
      <c r="D10">
        <f>mub*Rchb</f>
        <v>8947368.421052631</v>
      </c>
      <c r="E10">
        <f>mub*Rchb</f>
        <v>8947368.421052631</v>
      </c>
      <c r="F10">
        <f>mub*Rchb</f>
        <v>8947368.421052631</v>
      </c>
      <c r="G10">
        <f>mub*Rchb</f>
        <v>8947368.421052631</v>
      </c>
      <c r="K10" s="2"/>
    </row>
    <row r="11" spans="1:12" ht="12.75">
      <c r="A11" s="2"/>
      <c r="D11">
        <f>D10*D10</f>
        <v>80055401662049.84</v>
      </c>
      <c r="E11">
        <f>E10*E10</f>
        <v>80055401662049.84</v>
      </c>
      <c r="F11">
        <f>F10*F10</f>
        <v>80055401662049.84</v>
      </c>
      <c r="G11">
        <f>G10*G10</f>
        <v>80055401662049.84</v>
      </c>
      <c r="H11" s="24">
        <f>RAb*rakb+(mub+1)*RAb*Rknd</f>
        <v>10997000000</v>
      </c>
      <c r="I11" s="24">
        <f>RAb*rakb+(mub+1)*RAb*Rknd</f>
        <v>10997000000</v>
      </c>
      <c r="J11" s="24">
        <f>RAb*rakb+(mub+1)*RAb*Rknd</f>
        <v>10997000000</v>
      </c>
      <c r="K11" s="52" t="s">
        <v>95</v>
      </c>
      <c r="L11" s="53" t="s">
        <v>93</v>
      </c>
    </row>
    <row r="12" spans="1:12" ht="12.75">
      <c r="A12" s="2"/>
      <c r="D12">
        <f>D9*D9*D11*Rkb*Rkb*Ckb*Ckb/1000000000000</f>
        <v>27094338091429.96</v>
      </c>
      <c r="E12">
        <f>E9*E9*E11*Rkb*Rkb*Ckb*Ckb/1000000000000</f>
        <v>2709433809142995</v>
      </c>
      <c r="F12">
        <f>F9*F9*F11*Rkb*Rkb*Ckb*Ckb/1000000000000</f>
        <v>2.7094338091429952E+17</v>
      </c>
      <c r="G12">
        <f>G9*G9*G11*Rkb*Rkb*Ckb*Ckb/1000000000000</f>
        <v>6.096226070571739E+17</v>
      </c>
      <c r="H12" s="24">
        <f>RAb+rakb+(mub+1)*Rknd</f>
        <v>209970</v>
      </c>
      <c r="I12" s="24">
        <f>RAb+rakb+(mub+1)*Rknd</f>
        <v>209970</v>
      </c>
      <c r="J12" s="24">
        <f>RAb+rakb+(mub+1)*Rknd</f>
        <v>209970</v>
      </c>
      <c r="K12" s="52" t="s">
        <v>96</v>
      </c>
      <c r="L12" s="53" t="s">
        <v>94</v>
      </c>
    </row>
    <row r="13" spans="1:11" ht="12.75">
      <c r="A13" s="2"/>
      <c r="C13" t="s">
        <v>30</v>
      </c>
      <c r="D13">
        <f>SQRT(D12+D11)</f>
        <v>10351315.846474776</v>
      </c>
      <c r="E13">
        <f>SQRT(E12+E11)</f>
        <v>52815615.217519194</v>
      </c>
      <c r="F13">
        <f>SQRT(F12+F11)</f>
        <v>520599112.86513114</v>
      </c>
      <c r="G13">
        <f>SQRT(G12+G11)</f>
        <v>780834593.5336343</v>
      </c>
      <c r="H13" s="24">
        <f>H11+(mub+1)*RAb*Rkd</f>
        <v>26147000000</v>
      </c>
      <c r="I13" s="24">
        <f>I11+(mub+1)*RAb*Rkd</f>
        <v>26147000000</v>
      </c>
      <c r="J13" s="24">
        <f>J11+(mub+1)*RAb*Rkd</f>
        <v>26147000000</v>
      </c>
      <c r="K13" s="52" t="s">
        <v>97</v>
      </c>
    </row>
    <row r="14" spans="1:11" ht="12.75">
      <c r="A14" s="2"/>
      <c r="H14">
        <f>H11*H9*D41*Rkd</f>
        <v>4871281312.025301</v>
      </c>
      <c r="I14">
        <f>I11*I9*D41*Rkd</f>
        <v>48712813120.253</v>
      </c>
      <c r="J14">
        <f>J11*J9*D41*Rkd</f>
        <v>487128131202.52997</v>
      </c>
      <c r="K14" s="52" t="s">
        <v>98</v>
      </c>
    </row>
    <row r="15" spans="1:11" ht="12.75">
      <c r="A15" s="2"/>
      <c r="D15">
        <f>(Rchb+rakb)*D9*Rkb*Ckb/1000000</f>
        <v>88412.2299169053</v>
      </c>
      <c r="E15">
        <f>(Rchb+rakb)*E9*Rkb*Ckb/1000000</f>
        <v>884122.2991690529</v>
      </c>
      <c r="F15">
        <f>(Rchb+rakb)*F9*Rkb*Ckb/1000000</f>
        <v>8841222.99169053</v>
      </c>
      <c r="G15">
        <f>(Rchb+rakb)*G9*Rkb*Ckb/1000000</f>
        <v>13261834.487535795</v>
      </c>
      <c r="H15">
        <f>SQRT(H13*H13+H14*H14)</f>
        <v>26596898139.08545</v>
      </c>
      <c r="I15">
        <f>SQRT(I13*I13+I14*I14)</f>
        <v>55286560492.48038</v>
      </c>
      <c r="J15">
        <f>SQRT(J13*J13+J14*J14)</f>
        <v>487829357273.493</v>
      </c>
      <c r="K15" s="52" t="s">
        <v>51</v>
      </c>
    </row>
    <row r="16" spans="1:11" ht="12.75">
      <c r="A16" s="2"/>
      <c r="D16">
        <f>D15*D15</f>
        <v>7816722398.8797245</v>
      </c>
      <c r="E16">
        <f>E15*E15</f>
        <v>781672239887.9722</v>
      </c>
      <c r="F16">
        <f>F15*F15</f>
        <v>78167223988797.23</v>
      </c>
      <c r="G16">
        <f>G15*G15</f>
        <v>175876253974793.8</v>
      </c>
      <c r="H16">
        <f>H12+(mub+1)*Rkd</f>
        <v>361470</v>
      </c>
      <c r="I16">
        <f>I12+(mub+1)*Rkd</f>
        <v>361470</v>
      </c>
      <c r="J16">
        <f>J12+(mub+1)*Rkd</f>
        <v>361470</v>
      </c>
      <c r="K16" s="52" t="s">
        <v>99</v>
      </c>
    </row>
    <row r="17" spans="1:11" ht="12.75">
      <c r="A17" s="2"/>
      <c r="H17">
        <f>H9*H12*$D$41*Rkd</f>
        <v>93009.26953586908</v>
      </c>
      <c r="I17">
        <f>I9*I12*$D$41*Rkd</f>
        <v>930092.6953586907</v>
      </c>
      <c r="J17">
        <f>J9*J12*$D$41*Rkd</f>
        <v>9300926.953586908</v>
      </c>
      <c r="K17" s="52" t="s">
        <v>100</v>
      </c>
    </row>
    <row r="18" spans="1:11" ht="12.75">
      <c r="A18" s="2"/>
      <c r="H18">
        <f>SQRT(H16*H16+H17*H17)</f>
        <v>373244.27004254994</v>
      </c>
      <c r="I18">
        <f>SQRT(I16*I16+I17*I17)</f>
        <v>997864.2106316842</v>
      </c>
      <c r="J18">
        <f>SQRT(J16*J16+J17*J17)</f>
        <v>9307948.364535518</v>
      </c>
      <c r="K18" s="52" t="s">
        <v>101</v>
      </c>
    </row>
    <row r="19" spans="1:11" ht="12.75">
      <c r="A19" s="2"/>
      <c r="D19">
        <f>Rchb+rakb+(mub+1)*Rkb</f>
        <v>350943.6842105263</v>
      </c>
      <c r="E19">
        <f>Rchb+rakb+(mub+1)*Rkb</f>
        <v>350943.6842105263</v>
      </c>
      <c r="F19">
        <f>Rchb+rakb+(mub+1)*Rkb</f>
        <v>350943.6842105263</v>
      </c>
      <c r="G19">
        <f>Rchb+rakb+(mub+1)*Rkb</f>
        <v>350943.6842105263</v>
      </c>
      <c r="H19" s="38">
        <f>H15/H18</f>
        <v>71258.69108734984</v>
      </c>
      <c r="I19" s="38">
        <f>I15/I18</f>
        <v>55404.89367534485</v>
      </c>
      <c r="J19" s="38">
        <f>J15/J18</f>
        <v>52409.97673904012</v>
      </c>
      <c r="K19" s="52" t="s">
        <v>44</v>
      </c>
    </row>
    <row r="20" spans="1:7" ht="12.75">
      <c r="A20" s="2"/>
      <c r="D20">
        <f>D19*D19</f>
        <v>123161469487.2576</v>
      </c>
      <c r="E20">
        <f>E19*E19</f>
        <v>123161469487.2576</v>
      </c>
      <c r="F20">
        <f>F19*F19</f>
        <v>123161469487.2576</v>
      </c>
      <c r="G20">
        <f>G19*G19</f>
        <v>123161469487.2576</v>
      </c>
    </row>
    <row r="21" spans="1:7" ht="12.75">
      <c r="A21" s="2"/>
      <c r="C21" t="s">
        <v>32</v>
      </c>
      <c r="D21">
        <f>SQRT(D16+D20)</f>
        <v>361909.09340072866</v>
      </c>
      <c r="E21">
        <f>SQRT(E16+E20)</f>
        <v>951227.4750948007</v>
      </c>
      <c r="F21">
        <f>SQRT(F16+F20)</f>
        <v>8848185.43308652</v>
      </c>
      <c r="G21">
        <f>SQRT(G16+G20)</f>
        <v>13266477.130130706</v>
      </c>
    </row>
    <row r="22" spans="1:10" ht="12.75">
      <c r="A22" s="2"/>
      <c r="H22" s="54"/>
      <c r="I22" s="54"/>
      <c r="J22" s="54"/>
    </row>
    <row r="23" spans="1:7" ht="12.75">
      <c r="A23" s="2"/>
      <c r="C23" t="s">
        <v>40</v>
      </c>
      <c r="D23">
        <f>1+D13/D21</f>
        <v>29.601977776262018</v>
      </c>
      <c r="E23">
        <f>1+E13/E21</f>
        <v>56.523643503101624</v>
      </c>
      <c r="F23">
        <f>1+F13/F21</f>
        <v>59.83682217129237</v>
      </c>
      <c r="G23">
        <f>1+G13/G21</f>
        <v>59.857719790599845</v>
      </c>
    </row>
    <row r="24" spans="1:7" ht="12.75">
      <c r="A24" s="2"/>
      <c r="C24" t="s">
        <v>33</v>
      </c>
      <c r="D24">
        <f>Cg_ab*0.000000000001*D23+Cg_kb*0.000000000001</f>
        <v>5.1923362219645426E-11</v>
      </c>
      <c r="E24">
        <f>Cg_ab*0.000000000001*E23+Cg_kb*0.000000000001</f>
        <v>9.769019395527275E-11</v>
      </c>
      <c r="F24">
        <f>Cg_ab*0.000000000001*F23+Cg_kb*0.000000000001</f>
        <v>1.0332259769119701E-10</v>
      </c>
      <c r="G24">
        <f>Cg_ab*0.000000000001*G23+Cg_kb*0.000000000001</f>
        <v>1.0335812364401973E-10</v>
      </c>
    </row>
    <row r="25" spans="1:7" ht="12.75">
      <c r="A25" s="2"/>
      <c r="C25" t="s">
        <v>34</v>
      </c>
      <c r="D25">
        <f>D9*D24</f>
        <v>3.262441065978398E-08</v>
      </c>
      <c r="E25">
        <f>E9*E24</f>
        <v>6.138055913152937E-07</v>
      </c>
      <c r="F25">
        <f>F9*F24</f>
        <v>6.491950277129565E-06</v>
      </c>
      <c r="G25">
        <f>G9*G24</f>
        <v>9.741273657866337E-06</v>
      </c>
    </row>
    <row r="26" spans="1:7" ht="12.75">
      <c r="A26" s="2"/>
      <c r="C26" t="s">
        <v>35</v>
      </c>
      <c r="D26">
        <f>D25*D25</f>
        <v>1.0643521708982264E-15</v>
      </c>
      <c r="E26">
        <f>E25*E25</f>
        <v>3.767573039299174E-13</v>
      </c>
      <c r="F26">
        <f>F25*F25</f>
        <v>4.214541840072264E-11</v>
      </c>
      <c r="G26">
        <f>G25*G25</f>
        <v>9.48924124774406E-11</v>
      </c>
    </row>
    <row r="27" spans="1:7" ht="12.75">
      <c r="A27" s="2"/>
      <c r="D27">
        <f>Rglb*Rglb</f>
        <v>1000000000000</v>
      </c>
      <c r="E27">
        <f>Rglb*Rglb</f>
        <v>1000000000000</v>
      </c>
      <c r="F27">
        <f>Rglb*Rglb</f>
        <v>1000000000000</v>
      </c>
      <c r="G27">
        <f>Rglb*Rglb</f>
        <v>1000000000000</v>
      </c>
    </row>
    <row r="28" spans="1:7" ht="12.75">
      <c r="A28" s="2"/>
      <c r="D28">
        <f>D27*Rgsb*Rgsb*D26</f>
        <v>4921564.438233399</v>
      </c>
      <c r="E28">
        <f>E27*Rgsb*Rgsb*E26</f>
        <v>1742125773.371938</v>
      </c>
      <c r="F28">
        <f>F27*Rgsb*Rgsb*F26</f>
        <v>194880414684.9415</v>
      </c>
      <c r="G28">
        <f>G27*Rgsb*Rgsb*G26</f>
        <v>438782515295.68536</v>
      </c>
    </row>
    <row r="29" spans="1:7" ht="12.75">
      <c r="A29" s="2"/>
      <c r="C29" t="s">
        <v>39</v>
      </c>
      <c r="D29">
        <f>SQRT(D27+D28)</f>
        <v>1000002.4607791913</v>
      </c>
      <c r="E29">
        <f>SQRT(E27+E28)</f>
        <v>1000870.6838415101</v>
      </c>
      <c r="F29">
        <f>SQRT(F27+F28)</f>
        <v>1093105.857035329</v>
      </c>
      <c r="G29">
        <f>SQRT(G27+G28)</f>
        <v>1199492.6074368635</v>
      </c>
    </row>
    <row r="30" spans="1:7" ht="12.75">
      <c r="A30" s="2"/>
      <c r="D30">
        <f>Rglb+Rgsb</f>
        <v>1068000</v>
      </c>
      <c r="E30">
        <f>Rglb+Rgsb</f>
        <v>1068000</v>
      </c>
      <c r="F30">
        <f>Rglb+Rgsb</f>
        <v>1068000</v>
      </c>
      <c r="G30">
        <f>Rglb+Rgsb</f>
        <v>1068000</v>
      </c>
    </row>
    <row r="31" spans="1:7" ht="12.75">
      <c r="A31" s="2"/>
      <c r="D31">
        <f>D30*D30</f>
        <v>1140624000000</v>
      </c>
      <c r="E31">
        <f>E30*E30</f>
        <v>1140624000000</v>
      </c>
      <c r="F31">
        <f>F30*F30</f>
        <v>1140624000000</v>
      </c>
      <c r="G31">
        <f>G30*G30</f>
        <v>1140624000000</v>
      </c>
    </row>
    <row r="32" spans="1:7" ht="12.75">
      <c r="A32" s="2"/>
      <c r="D32">
        <f>D26*D31</f>
        <v>0.0012140256305786187</v>
      </c>
      <c r="E32">
        <f>E26*E31</f>
        <v>0.42973842303775805</v>
      </c>
      <c r="F32">
        <f>F26*F31</f>
        <v>48.07207571790586</v>
      </c>
      <c r="G32">
        <f>G26*G31</f>
        <v>108.23656308966821</v>
      </c>
    </row>
    <row r="33" spans="1:7" ht="12.75">
      <c r="A33" s="2"/>
      <c r="C33" t="s">
        <v>36</v>
      </c>
      <c r="D33">
        <f>SQRT(1+D32)</f>
        <v>1.000606828694757</v>
      </c>
      <c r="E33">
        <f>SQRT(1+E32)</f>
        <v>1.19571669848579</v>
      </c>
      <c r="F33">
        <f>SQRT(1+F32)</f>
        <v>7.00514637376735</v>
      </c>
      <c r="G33">
        <f>SQRT(1+G32)</f>
        <v>10.451629685827383</v>
      </c>
    </row>
    <row r="34" spans="1:7" ht="12.75">
      <c r="A34" s="2"/>
      <c r="C34" t="s">
        <v>37</v>
      </c>
      <c r="D34" s="51">
        <f>D29/D33</f>
        <v>999395.9986098097</v>
      </c>
      <c r="E34" s="51">
        <f>E29/E33</f>
        <v>837046.6726014402</v>
      </c>
      <c r="F34" s="51">
        <f>F29/F33</f>
        <v>156043.25715858804</v>
      </c>
      <c r="G34" s="51">
        <f>G29/G33</f>
        <v>114766.08371069626</v>
      </c>
    </row>
    <row r="35" ht="12.75">
      <c r="A35" s="2"/>
    </row>
    <row r="36" spans="1:7" ht="12.75">
      <c r="A36" s="2"/>
      <c r="C36" t="s">
        <v>38</v>
      </c>
      <c r="D36">
        <f>1/D25</f>
        <v>30651894.694076337</v>
      </c>
      <c r="E36">
        <f>1/E25</f>
        <v>1629180.3368182902</v>
      </c>
      <c r="F36">
        <f>1/F25</f>
        <v>154036.91607480287</v>
      </c>
      <c r="G36">
        <f>1/G25</f>
        <v>102655.98063683115</v>
      </c>
    </row>
    <row r="37" ht="12.75">
      <c r="A37" s="2"/>
    </row>
    <row r="38" ht="12.75">
      <c r="A38" s="2"/>
    </row>
    <row r="40" spans="3:4" ht="12.75">
      <c r="C40" t="s">
        <v>92</v>
      </c>
      <c r="D40">
        <f>Rchb+rakb</f>
        <v>151973.6842105263</v>
      </c>
    </row>
    <row r="41" spans="3:4" ht="12.75">
      <c r="C41" t="s">
        <v>79</v>
      </c>
      <c r="D41">
        <f>Ckb*0.000001</f>
        <v>4.6999999999999995E-07</v>
      </c>
    </row>
    <row r="42" spans="3:4" ht="12.75">
      <c r="C42" t="s">
        <v>80</v>
      </c>
      <c r="D42">
        <f>Rkd*D41</f>
        <v>0.0007049999999999999</v>
      </c>
    </row>
    <row r="43" spans="3:4" ht="12.75">
      <c r="C43" t="s">
        <v>86</v>
      </c>
      <c r="D43">
        <f>D42*Rknd</f>
        <v>0.33135</v>
      </c>
    </row>
    <row r="44" spans="3:4" ht="12.75">
      <c r="C44" t="s">
        <v>84</v>
      </c>
      <c r="D44">
        <f>mub+1</f>
        <v>101</v>
      </c>
    </row>
    <row r="45" spans="3:4" ht="12.75">
      <c r="C45" t="s">
        <v>85</v>
      </c>
      <c r="D45">
        <f>Rkb</f>
        <v>1970</v>
      </c>
    </row>
    <row r="46" spans="3:4" ht="12.75">
      <c r="C46" t="s">
        <v>83</v>
      </c>
      <c r="D46">
        <f>D40+D44*D45</f>
        <v>350943.6842105263</v>
      </c>
    </row>
    <row r="47" spans="3:4" ht="12.75">
      <c r="C47" t="s">
        <v>87</v>
      </c>
      <c r="D47">
        <f>D48*D42</f>
        <v>140.60779736842102</v>
      </c>
    </row>
    <row r="48" spans="3:4" ht="12.75">
      <c r="C48" t="s">
        <v>88</v>
      </c>
      <c r="D48">
        <f>D40+D44*Rknd</f>
        <v>199443.6842105263</v>
      </c>
    </row>
    <row r="49" spans="3:4" ht="12.75">
      <c r="C49" t="s">
        <v>89</v>
      </c>
      <c r="D49">
        <f>D47</f>
        <v>140.60779736842102</v>
      </c>
    </row>
    <row r="53" spans="3:5" ht="12.75">
      <c r="C53" t="s">
        <v>81</v>
      </c>
      <c r="D53">
        <f>D46*D46-2*D48*D48</f>
        <v>43605903144.321335</v>
      </c>
      <c r="E53" t="b">
        <f>AND(D54&lt;&gt;0,D53&gt;0)</f>
        <v>1</v>
      </c>
    </row>
    <row r="54" spans="3:4" ht="12.75">
      <c r="C54" t="s">
        <v>82</v>
      </c>
      <c r="D54">
        <f>D47*D47</f>
        <v>19770.552680798944</v>
      </c>
    </row>
    <row r="55" spans="3:4" ht="12.75">
      <c r="C55" t="s">
        <v>90</v>
      </c>
      <c r="D55">
        <f>IF(AND(D54&lt;&gt;0,D53&gt;0),SQRT(D53/D54),"  SANS")</f>
        <v>1485.125783029097</v>
      </c>
    </row>
    <row r="56" spans="3:4" ht="12.75">
      <c r="C56" s="1" t="s">
        <v>91</v>
      </c>
      <c r="D56" s="1">
        <f>IF(AND(D54&lt;&gt;0,D53&gt;0),D55/2/PI(),"  SANS")</f>
        <v>236.36510948230244</v>
      </c>
    </row>
  </sheetData>
  <sheetProtection sheet="1" objects="1" scenarios="1"/>
  <mergeCells count="2">
    <mergeCell ref="D7:F7"/>
    <mergeCell ref="H7:J7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R41"/>
  <sheetViews>
    <sheetView workbookViewId="0" topLeftCell="A1">
      <selection activeCell="B2" sqref="B2"/>
    </sheetView>
  </sheetViews>
  <sheetFormatPr defaultColWidth="11.421875" defaultRowHeight="12.75"/>
  <cols>
    <col min="14" max="14" width="11.421875" style="22" customWidth="1"/>
    <col min="23" max="23" width="11.421875" style="31" customWidth="1"/>
    <col min="32" max="32" width="11.421875" style="31" customWidth="1"/>
    <col min="41" max="41" width="11.421875" style="31" customWidth="1"/>
  </cols>
  <sheetData>
    <row r="2" spans="2:27" ht="12.75">
      <c r="B2" s="37" t="s">
        <v>61</v>
      </c>
      <c r="E2" s="29"/>
      <c r="F2" s="29"/>
      <c r="G2" s="29"/>
      <c r="H2" s="29"/>
      <c r="I2" s="29"/>
      <c r="J2" s="29"/>
      <c r="K2" s="29"/>
      <c r="L2" s="29"/>
      <c r="M2" s="29"/>
      <c r="N2" s="36"/>
      <c r="O2" s="29"/>
      <c r="P2" s="29"/>
      <c r="Q2" s="29"/>
      <c r="R2" s="29"/>
      <c r="S2" s="29"/>
      <c r="T2" s="29"/>
      <c r="U2" s="29"/>
      <c r="V2" s="29"/>
      <c r="W2" s="30"/>
      <c r="X2" s="29"/>
      <c r="Y2" s="29"/>
      <c r="Z2" s="29"/>
      <c r="AA2" s="29"/>
    </row>
    <row r="3" spans="2:44" ht="12.75">
      <c r="B3">
        <v>1.2589254117941673</v>
      </c>
      <c r="C3">
        <v>10</v>
      </c>
      <c r="E3">
        <v>1.2589254117941673</v>
      </c>
      <c r="F3">
        <v>1.5848931924611136</v>
      </c>
      <c r="G3">
        <v>1.9952623149688797</v>
      </c>
      <c r="H3">
        <v>2.5118864315095806</v>
      </c>
      <c r="I3">
        <v>3.1622776601683795</v>
      </c>
      <c r="J3">
        <v>3.9810717055349727</v>
      </c>
      <c r="K3">
        <v>5.011872336272723</v>
      </c>
      <c r="L3">
        <v>6.309573444801934</v>
      </c>
      <c r="M3">
        <v>7.943282347242818</v>
      </c>
      <c r="N3" s="22">
        <v>10</v>
      </c>
      <c r="O3">
        <v>15.848931924611136</v>
      </c>
      <c r="P3">
        <v>19.952623149688797</v>
      </c>
      <c r="Q3">
        <v>25.118864315095806</v>
      </c>
      <c r="R3">
        <v>31.622776601683796</v>
      </c>
      <c r="S3">
        <v>39.81071705534973</v>
      </c>
      <c r="T3">
        <v>50.11872336272723</v>
      </c>
      <c r="U3">
        <v>63.09573444801934</v>
      </c>
      <c r="V3">
        <v>79.43282347242817</v>
      </c>
      <c r="W3" s="31">
        <v>100</v>
      </c>
      <c r="X3">
        <v>158.48931924611136</v>
      </c>
      <c r="Y3">
        <v>199.526231496888</v>
      </c>
      <c r="Z3">
        <v>251.18864315095806</v>
      </c>
      <c r="AA3">
        <v>316.22776601683796</v>
      </c>
      <c r="AB3">
        <v>398.10717055349727</v>
      </c>
      <c r="AC3">
        <v>501.1872336272723</v>
      </c>
      <c r="AD3">
        <v>630.9573444801935</v>
      </c>
      <c r="AE3">
        <v>794.3282347242816</v>
      </c>
      <c r="AF3" s="31">
        <v>1000</v>
      </c>
      <c r="AG3">
        <v>1584.8931924611136</v>
      </c>
      <c r="AH3">
        <v>1995.2623149688798</v>
      </c>
      <c r="AI3">
        <v>2511.8864315095807</v>
      </c>
      <c r="AJ3">
        <v>3162.2776601683795</v>
      </c>
      <c r="AK3">
        <v>3981.071705534973</v>
      </c>
      <c r="AL3">
        <v>5011.872336272723</v>
      </c>
      <c r="AM3">
        <v>6309.573444801935</v>
      </c>
      <c r="AN3">
        <v>7943.282347242816</v>
      </c>
      <c r="AO3" s="31">
        <v>10000</v>
      </c>
      <c r="AP3">
        <v>15848.931924611135</v>
      </c>
      <c r="AQ3">
        <v>19952.6231496888</v>
      </c>
      <c r="AR3">
        <v>25118.86431509581</v>
      </c>
    </row>
    <row r="4" spans="2:44" ht="12.75">
      <c r="B4">
        <v>1.5848931924611136</v>
      </c>
      <c r="C4">
        <v>13</v>
      </c>
      <c r="M4">
        <v>7.943282347242818</v>
      </c>
      <c r="N4" s="22">
        <v>10</v>
      </c>
      <c r="O4">
        <v>15.848931924611136</v>
      </c>
      <c r="P4">
        <v>19.952623149688797</v>
      </c>
      <c r="Q4">
        <v>25.118864315095806</v>
      </c>
      <c r="R4">
        <v>31.622776601683796</v>
      </c>
      <c r="S4">
        <v>39.81071705534973</v>
      </c>
      <c r="T4">
        <v>50.11872336272723</v>
      </c>
      <c r="U4">
        <v>63.09573444801934</v>
      </c>
      <c r="V4">
        <v>79.43282347242817</v>
      </c>
      <c r="W4" s="31">
        <v>100</v>
      </c>
      <c r="X4">
        <v>158.48931924611136</v>
      </c>
      <c r="Y4">
        <v>199.526231496888</v>
      </c>
      <c r="Z4">
        <v>251.18864315095806</v>
      </c>
      <c r="AA4">
        <v>316.22776601683796</v>
      </c>
      <c r="AB4">
        <v>398.10717055349727</v>
      </c>
      <c r="AC4">
        <v>501.1872336272723</v>
      </c>
      <c r="AD4">
        <v>630.9573444801935</v>
      </c>
      <c r="AE4">
        <v>794.3282347242816</v>
      </c>
      <c r="AF4" s="31">
        <v>1000</v>
      </c>
      <c r="AG4">
        <v>1584.8931924611136</v>
      </c>
      <c r="AH4">
        <v>1995.2623149688798</v>
      </c>
      <c r="AI4">
        <v>2511.8864315095807</v>
      </c>
      <c r="AJ4">
        <v>3162.2776601683795</v>
      </c>
      <c r="AK4">
        <v>3981.071705534973</v>
      </c>
      <c r="AL4">
        <v>5011.872336272723</v>
      </c>
      <c r="AM4">
        <v>6309.573444801935</v>
      </c>
      <c r="AN4">
        <v>7943.282347242816</v>
      </c>
      <c r="AO4" s="31">
        <v>10000</v>
      </c>
      <c r="AP4">
        <v>15848.931924611135</v>
      </c>
      <c r="AQ4">
        <v>19952.6231496888</v>
      </c>
      <c r="AR4">
        <v>25118.86431509581</v>
      </c>
    </row>
    <row r="5" spans="2:44" ht="12.75">
      <c r="B5">
        <v>1.9952623149688797</v>
      </c>
      <c r="C5">
        <v>18</v>
      </c>
      <c r="M5">
        <v>7.943282347242818</v>
      </c>
      <c r="N5" s="22">
        <v>10</v>
      </c>
      <c r="O5">
        <v>15.848931924611136</v>
      </c>
      <c r="P5">
        <v>19.952623149688797</v>
      </c>
      <c r="Q5">
        <v>25.118864315095806</v>
      </c>
      <c r="R5">
        <v>31.622776601683796</v>
      </c>
      <c r="S5">
        <v>39.81071705534973</v>
      </c>
      <c r="T5">
        <v>50.11872336272723</v>
      </c>
      <c r="U5">
        <v>63.09573444801934</v>
      </c>
      <c r="V5">
        <v>79.43282347242817</v>
      </c>
      <c r="W5" s="31">
        <v>100</v>
      </c>
      <c r="X5">
        <v>158.48931924611136</v>
      </c>
      <c r="Y5">
        <v>199.526231496888</v>
      </c>
      <c r="Z5">
        <v>251.18864315095806</v>
      </c>
      <c r="AA5">
        <v>316.22776601683796</v>
      </c>
      <c r="AB5">
        <v>398.10717055349727</v>
      </c>
      <c r="AC5">
        <v>501.1872336272723</v>
      </c>
      <c r="AD5">
        <v>630.9573444801935</v>
      </c>
      <c r="AE5">
        <v>794.3282347242816</v>
      </c>
      <c r="AF5" s="31">
        <v>1000</v>
      </c>
      <c r="AG5">
        <v>1584.8931924611136</v>
      </c>
      <c r="AH5">
        <v>1995.2623149688798</v>
      </c>
      <c r="AI5">
        <v>2511.8864315095807</v>
      </c>
      <c r="AJ5">
        <v>3162.2776601683795</v>
      </c>
      <c r="AK5">
        <v>3981.071705534973</v>
      </c>
      <c r="AL5">
        <v>5011.872336272723</v>
      </c>
      <c r="AM5">
        <v>6309.573444801935</v>
      </c>
      <c r="AN5">
        <v>7943.282347242816</v>
      </c>
      <c r="AO5" s="31">
        <v>10000</v>
      </c>
      <c r="AP5">
        <v>15848.931924611135</v>
      </c>
      <c r="AQ5">
        <v>19952.6231496888</v>
      </c>
      <c r="AR5">
        <v>25118.86431509581</v>
      </c>
    </row>
    <row r="6" spans="2:44" ht="12.75">
      <c r="B6">
        <v>2.5118864315095806</v>
      </c>
      <c r="C6">
        <v>24</v>
      </c>
      <c r="D6" t="s">
        <v>59</v>
      </c>
      <c r="E6">
        <v>1</v>
      </c>
      <c r="F6">
        <v>1.3</v>
      </c>
      <c r="G6">
        <v>1.8</v>
      </c>
      <c r="H6">
        <v>2.4</v>
      </c>
      <c r="I6">
        <v>3.2</v>
      </c>
      <c r="J6">
        <v>4.5</v>
      </c>
      <c r="K6">
        <v>5.6</v>
      </c>
      <c r="L6">
        <v>7.5</v>
      </c>
      <c r="M6">
        <v>10</v>
      </c>
      <c r="N6" s="22">
        <v>13</v>
      </c>
      <c r="O6">
        <v>18</v>
      </c>
      <c r="P6">
        <v>24</v>
      </c>
      <c r="Q6">
        <v>32</v>
      </c>
      <c r="R6">
        <v>45</v>
      </c>
      <c r="S6">
        <v>56</v>
      </c>
      <c r="T6">
        <v>75</v>
      </c>
      <c r="U6">
        <v>100</v>
      </c>
      <c r="V6">
        <f aca="true" t="shared" si="0" ref="V6:AR6">N6*10</f>
        <v>130</v>
      </c>
      <c r="W6">
        <f t="shared" si="0"/>
        <v>180</v>
      </c>
      <c r="X6">
        <f t="shared" si="0"/>
        <v>240</v>
      </c>
      <c r="Y6">
        <f t="shared" si="0"/>
        <v>320</v>
      </c>
      <c r="Z6">
        <f t="shared" si="0"/>
        <v>450</v>
      </c>
      <c r="AA6">
        <f t="shared" si="0"/>
        <v>560</v>
      </c>
      <c r="AB6">
        <f t="shared" si="0"/>
        <v>750</v>
      </c>
      <c r="AC6">
        <f t="shared" si="0"/>
        <v>1000</v>
      </c>
      <c r="AD6">
        <f t="shared" si="0"/>
        <v>1300</v>
      </c>
      <c r="AE6">
        <f t="shared" si="0"/>
        <v>1800</v>
      </c>
      <c r="AF6">
        <f t="shared" si="0"/>
        <v>2400</v>
      </c>
      <c r="AG6">
        <f t="shared" si="0"/>
        <v>3200</v>
      </c>
      <c r="AH6">
        <f t="shared" si="0"/>
        <v>4500</v>
      </c>
      <c r="AI6">
        <f t="shared" si="0"/>
        <v>5600</v>
      </c>
      <c r="AJ6">
        <f t="shared" si="0"/>
        <v>7500</v>
      </c>
      <c r="AK6">
        <f t="shared" si="0"/>
        <v>10000</v>
      </c>
      <c r="AL6">
        <f t="shared" si="0"/>
        <v>13000</v>
      </c>
      <c r="AM6">
        <f t="shared" si="0"/>
        <v>18000</v>
      </c>
      <c r="AN6">
        <f t="shared" si="0"/>
        <v>24000</v>
      </c>
      <c r="AO6">
        <f t="shared" si="0"/>
        <v>32000</v>
      </c>
      <c r="AP6">
        <f t="shared" si="0"/>
        <v>45000</v>
      </c>
      <c r="AQ6">
        <f t="shared" si="0"/>
        <v>56000</v>
      </c>
      <c r="AR6">
        <f t="shared" si="0"/>
        <v>75000</v>
      </c>
    </row>
    <row r="7" spans="2:44" ht="12.75">
      <c r="B7">
        <v>3.1622776601683795</v>
      </c>
      <c r="C7">
        <v>32</v>
      </c>
      <c r="D7" t="s">
        <v>29</v>
      </c>
      <c r="E7">
        <f aca="true" t="shared" si="1" ref="E7:AR7">E6*2*PI()</f>
        <v>6.283185307179586</v>
      </c>
      <c r="F7">
        <f t="shared" si="1"/>
        <v>8.168140899333462</v>
      </c>
      <c r="G7">
        <f t="shared" si="1"/>
        <v>11.309733552923255</v>
      </c>
      <c r="H7">
        <f t="shared" si="1"/>
        <v>15.079644737231007</v>
      </c>
      <c r="I7">
        <f t="shared" si="1"/>
        <v>20.106192982974676</v>
      </c>
      <c r="J7">
        <f t="shared" si="1"/>
        <v>28.274333882308138</v>
      </c>
      <c r="K7">
        <f t="shared" si="1"/>
        <v>35.18583772020568</v>
      </c>
      <c r="L7">
        <f t="shared" si="1"/>
        <v>47.12388980384689</v>
      </c>
      <c r="M7">
        <f t="shared" si="1"/>
        <v>62.83185307179586</v>
      </c>
      <c r="N7" s="22">
        <f t="shared" si="1"/>
        <v>81.68140899333463</v>
      </c>
      <c r="O7">
        <f t="shared" si="1"/>
        <v>113.09733552923255</v>
      </c>
      <c r="P7">
        <f t="shared" si="1"/>
        <v>150.79644737231007</v>
      </c>
      <c r="Q7">
        <f t="shared" si="1"/>
        <v>201.06192982974676</v>
      </c>
      <c r="R7">
        <f t="shared" si="1"/>
        <v>282.7433388230814</v>
      </c>
      <c r="S7">
        <f t="shared" si="1"/>
        <v>351.85837720205683</v>
      </c>
      <c r="T7">
        <f t="shared" si="1"/>
        <v>471.23889803846896</v>
      </c>
      <c r="U7">
        <f t="shared" si="1"/>
        <v>628.3185307179587</v>
      </c>
      <c r="V7">
        <f t="shared" si="1"/>
        <v>816.8140899333462</v>
      </c>
      <c r="W7">
        <f t="shared" si="1"/>
        <v>1130.9733552923256</v>
      </c>
      <c r="X7">
        <f t="shared" si="1"/>
        <v>1507.9644737231006</v>
      </c>
      <c r="Y7">
        <f t="shared" si="1"/>
        <v>2010.6192982974676</v>
      </c>
      <c r="Z7">
        <f t="shared" si="1"/>
        <v>2827.4333882308138</v>
      </c>
      <c r="AA7">
        <f t="shared" si="1"/>
        <v>3518.583772020568</v>
      </c>
      <c r="AB7">
        <f t="shared" si="1"/>
        <v>4712.38898038469</v>
      </c>
      <c r="AC7">
        <f t="shared" si="1"/>
        <v>6283.185307179586</v>
      </c>
      <c r="AD7">
        <f t="shared" si="1"/>
        <v>8168.140899333462</v>
      </c>
      <c r="AE7">
        <f t="shared" si="1"/>
        <v>11309.733552923255</v>
      </c>
      <c r="AF7">
        <f t="shared" si="1"/>
        <v>15079.644737231007</v>
      </c>
      <c r="AG7">
        <f t="shared" si="1"/>
        <v>20106.192982974677</v>
      </c>
      <c r="AH7">
        <f t="shared" si="1"/>
        <v>28274.33388230814</v>
      </c>
      <c r="AI7">
        <f t="shared" si="1"/>
        <v>35185.83772020568</v>
      </c>
      <c r="AJ7">
        <f t="shared" si="1"/>
        <v>47123.8898038469</v>
      </c>
      <c r="AK7">
        <f t="shared" si="1"/>
        <v>62831.853071795864</v>
      </c>
      <c r="AL7">
        <f t="shared" si="1"/>
        <v>81681.40899333463</v>
      </c>
      <c r="AM7">
        <f t="shared" si="1"/>
        <v>113097.33552923256</v>
      </c>
      <c r="AN7">
        <f t="shared" si="1"/>
        <v>150796.44737231007</v>
      </c>
      <c r="AO7">
        <f t="shared" si="1"/>
        <v>201061.92982974675</v>
      </c>
      <c r="AP7">
        <f t="shared" si="1"/>
        <v>282743.3388230814</v>
      </c>
      <c r="AQ7">
        <f t="shared" si="1"/>
        <v>351858.3772020568</v>
      </c>
      <c r="AR7">
        <f t="shared" si="1"/>
        <v>471238.89803846896</v>
      </c>
    </row>
    <row r="8" spans="2:44" ht="12.75">
      <c r="B8">
        <v>3.9810717055349727</v>
      </c>
      <c r="C8">
        <v>45</v>
      </c>
      <c r="D8" t="s">
        <v>31</v>
      </c>
      <c r="E8">
        <f>mub*Rchb</f>
        <v>8947368.421052631</v>
      </c>
      <c r="F8">
        <f aca="true" t="shared" si="2" ref="F8:AR8">mub*Rchb</f>
        <v>8947368.421052631</v>
      </c>
      <c r="G8">
        <f t="shared" si="2"/>
        <v>8947368.421052631</v>
      </c>
      <c r="H8">
        <f t="shared" si="2"/>
        <v>8947368.421052631</v>
      </c>
      <c r="I8">
        <f t="shared" si="2"/>
        <v>8947368.421052631</v>
      </c>
      <c r="J8">
        <f t="shared" si="2"/>
        <v>8947368.421052631</v>
      </c>
      <c r="K8">
        <f t="shared" si="2"/>
        <v>8947368.421052631</v>
      </c>
      <c r="L8">
        <f t="shared" si="2"/>
        <v>8947368.421052631</v>
      </c>
      <c r="M8">
        <f t="shared" si="2"/>
        <v>8947368.421052631</v>
      </c>
      <c r="N8">
        <f t="shared" si="2"/>
        <v>8947368.421052631</v>
      </c>
      <c r="O8">
        <f t="shared" si="2"/>
        <v>8947368.421052631</v>
      </c>
      <c r="P8">
        <f t="shared" si="2"/>
        <v>8947368.421052631</v>
      </c>
      <c r="Q8">
        <f t="shared" si="2"/>
        <v>8947368.421052631</v>
      </c>
      <c r="R8">
        <f t="shared" si="2"/>
        <v>8947368.421052631</v>
      </c>
      <c r="S8">
        <f t="shared" si="2"/>
        <v>8947368.421052631</v>
      </c>
      <c r="T8">
        <f t="shared" si="2"/>
        <v>8947368.421052631</v>
      </c>
      <c r="U8">
        <f t="shared" si="2"/>
        <v>8947368.421052631</v>
      </c>
      <c r="V8">
        <f t="shared" si="2"/>
        <v>8947368.421052631</v>
      </c>
      <c r="W8">
        <f t="shared" si="2"/>
        <v>8947368.421052631</v>
      </c>
      <c r="X8">
        <f t="shared" si="2"/>
        <v>8947368.421052631</v>
      </c>
      <c r="Y8">
        <f t="shared" si="2"/>
        <v>8947368.421052631</v>
      </c>
      <c r="Z8">
        <f t="shared" si="2"/>
        <v>8947368.421052631</v>
      </c>
      <c r="AA8">
        <f t="shared" si="2"/>
        <v>8947368.421052631</v>
      </c>
      <c r="AB8">
        <f t="shared" si="2"/>
        <v>8947368.421052631</v>
      </c>
      <c r="AC8">
        <f t="shared" si="2"/>
        <v>8947368.421052631</v>
      </c>
      <c r="AD8">
        <f t="shared" si="2"/>
        <v>8947368.421052631</v>
      </c>
      <c r="AE8">
        <f t="shared" si="2"/>
        <v>8947368.421052631</v>
      </c>
      <c r="AF8">
        <f t="shared" si="2"/>
        <v>8947368.421052631</v>
      </c>
      <c r="AG8">
        <f t="shared" si="2"/>
        <v>8947368.421052631</v>
      </c>
      <c r="AH8">
        <f t="shared" si="2"/>
        <v>8947368.421052631</v>
      </c>
      <c r="AI8">
        <f t="shared" si="2"/>
        <v>8947368.421052631</v>
      </c>
      <c r="AJ8">
        <f t="shared" si="2"/>
        <v>8947368.421052631</v>
      </c>
      <c r="AK8">
        <f t="shared" si="2"/>
        <v>8947368.421052631</v>
      </c>
      <c r="AL8">
        <f t="shared" si="2"/>
        <v>8947368.421052631</v>
      </c>
      <c r="AM8">
        <f t="shared" si="2"/>
        <v>8947368.421052631</v>
      </c>
      <c r="AN8">
        <f t="shared" si="2"/>
        <v>8947368.421052631</v>
      </c>
      <c r="AO8">
        <f t="shared" si="2"/>
        <v>8947368.421052631</v>
      </c>
      <c r="AP8">
        <f t="shared" si="2"/>
        <v>8947368.421052631</v>
      </c>
      <c r="AQ8">
        <f t="shared" si="2"/>
        <v>8947368.421052631</v>
      </c>
      <c r="AR8">
        <f t="shared" si="2"/>
        <v>8947368.421052631</v>
      </c>
    </row>
    <row r="9" spans="2:44" ht="12.75">
      <c r="B9">
        <v>5.011872336272723</v>
      </c>
      <c r="C9">
        <v>56</v>
      </c>
      <c r="E9">
        <f aca="true" t="shared" si="3" ref="E9:AR9">E8*E8</f>
        <v>80055401662049.84</v>
      </c>
      <c r="F9">
        <f t="shared" si="3"/>
        <v>80055401662049.84</v>
      </c>
      <c r="G9">
        <f t="shared" si="3"/>
        <v>80055401662049.84</v>
      </c>
      <c r="H9">
        <f t="shared" si="3"/>
        <v>80055401662049.84</v>
      </c>
      <c r="I9">
        <f t="shared" si="3"/>
        <v>80055401662049.84</v>
      </c>
      <c r="J9">
        <f t="shared" si="3"/>
        <v>80055401662049.84</v>
      </c>
      <c r="K9">
        <f t="shared" si="3"/>
        <v>80055401662049.84</v>
      </c>
      <c r="L9">
        <f t="shared" si="3"/>
        <v>80055401662049.84</v>
      </c>
      <c r="M9">
        <f t="shared" si="3"/>
        <v>80055401662049.84</v>
      </c>
      <c r="N9">
        <f t="shared" si="3"/>
        <v>80055401662049.84</v>
      </c>
      <c r="O9">
        <f t="shared" si="3"/>
        <v>80055401662049.84</v>
      </c>
      <c r="P9">
        <f t="shared" si="3"/>
        <v>80055401662049.84</v>
      </c>
      <c r="Q9">
        <f t="shared" si="3"/>
        <v>80055401662049.84</v>
      </c>
      <c r="R9">
        <f t="shared" si="3"/>
        <v>80055401662049.84</v>
      </c>
      <c r="S9">
        <f t="shared" si="3"/>
        <v>80055401662049.84</v>
      </c>
      <c r="T9">
        <f t="shared" si="3"/>
        <v>80055401662049.84</v>
      </c>
      <c r="U9">
        <f t="shared" si="3"/>
        <v>80055401662049.84</v>
      </c>
      <c r="V9">
        <f t="shared" si="3"/>
        <v>80055401662049.84</v>
      </c>
      <c r="W9">
        <f t="shared" si="3"/>
        <v>80055401662049.84</v>
      </c>
      <c r="X9">
        <f t="shared" si="3"/>
        <v>80055401662049.84</v>
      </c>
      <c r="Y9">
        <f t="shared" si="3"/>
        <v>80055401662049.84</v>
      </c>
      <c r="Z9">
        <f t="shared" si="3"/>
        <v>80055401662049.84</v>
      </c>
      <c r="AA9">
        <f t="shared" si="3"/>
        <v>80055401662049.84</v>
      </c>
      <c r="AB9">
        <f t="shared" si="3"/>
        <v>80055401662049.84</v>
      </c>
      <c r="AC9">
        <f t="shared" si="3"/>
        <v>80055401662049.84</v>
      </c>
      <c r="AD9">
        <f t="shared" si="3"/>
        <v>80055401662049.84</v>
      </c>
      <c r="AE9">
        <f t="shared" si="3"/>
        <v>80055401662049.84</v>
      </c>
      <c r="AF9">
        <f t="shared" si="3"/>
        <v>80055401662049.84</v>
      </c>
      <c r="AG9">
        <f t="shared" si="3"/>
        <v>80055401662049.84</v>
      </c>
      <c r="AH9">
        <f t="shared" si="3"/>
        <v>80055401662049.84</v>
      </c>
      <c r="AI9">
        <f t="shared" si="3"/>
        <v>80055401662049.84</v>
      </c>
      <c r="AJ9">
        <f t="shared" si="3"/>
        <v>80055401662049.84</v>
      </c>
      <c r="AK9">
        <f t="shared" si="3"/>
        <v>80055401662049.84</v>
      </c>
      <c r="AL9">
        <f t="shared" si="3"/>
        <v>80055401662049.84</v>
      </c>
      <c r="AM9">
        <f t="shared" si="3"/>
        <v>80055401662049.84</v>
      </c>
      <c r="AN9">
        <f t="shared" si="3"/>
        <v>80055401662049.84</v>
      </c>
      <c r="AO9">
        <f t="shared" si="3"/>
        <v>80055401662049.84</v>
      </c>
      <c r="AP9">
        <f t="shared" si="3"/>
        <v>80055401662049.84</v>
      </c>
      <c r="AQ9">
        <f t="shared" si="3"/>
        <v>80055401662049.84</v>
      </c>
      <c r="AR9">
        <f t="shared" si="3"/>
        <v>80055401662049.84</v>
      </c>
    </row>
    <row r="10" spans="2:44" ht="12.75">
      <c r="B10">
        <v>6.309573444801934</v>
      </c>
      <c r="C10">
        <v>75</v>
      </c>
      <c r="E10">
        <f>E7*E7*E9*Rkd*Rkd*CalcIntB!$D$41*CalcIntB!$D$41</f>
        <v>1570827918.9290473</v>
      </c>
      <c r="F10">
        <f>F7*F7*F9*Rkd*Rkd*CalcIntB!$D$41*CalcIntB!$D$41</f>
        <v>2654699182.9900894</v>
      </c>
      <c r="G10">
        <f>G7*G7*G9*Rkd*Rkd*CalcIntB!$D$41*CalcIntB!$D$41</f>
        <v>5089482457.330112</v>
      </c>
      <c r="H10">
        <f>H7*H7*H9*Rkd*Rkd*CalcIntB!$D$41*CalcIntB!$D$41</f>
        <v>9047968813.031311</v>
      </c>
      <c r="I10">
        <f>I7*I7*I9*Rkd*Rkd*CalcIntB!$D$41*CalcIntB!$D$41</f>
        <v>16085277889.83344</v>
      </c>
      <c r="J10">
        <f>J7*J7*J9*Rkd*Rkd*CalcIntB!$D$41*CalcIntB!$D$41</f>
        <v>31809265358.313206</v>
      </c>
      <c r="K10">
        <f>K7*K7*K9*Rkd*Rkd*CalcIntB!$D$41*CalcIntB!$D$41</f>
        <v>49261163537.614914</v>
      </c>
      <c r="L10">
        <f>L7*L7*L9*Rkd*Rkd*CalcIntB!$D$41*CalcIntB!$D$41</f>
        <v>88359070439.75888</v>
      </c>
      <c r="M10">
        <f>M7*M7*M9*Rkd*Rkd*CalcIntB!$D$41*CalcIntB!$D$41</f>
        <v>157082791892.90472</v>
      </c>
      <c r="N10">
        <f>N7*N7*N9*Rkd*Rkd*CalcIntB!$D$41*CalcIntB!$D$41</f>
        <v>265469918299.009</v>
      </c>
      <c r="O10">
        <f>O7*O7*O9*Rkd*Rkd*CalcIntB!$D$41*CalcIntB!$D$41</f>
        <v>508948245733.0113</v>
      </c>
      <c r="P10">
        <f>P7*P7*P9*Rkd*Rkd*CalcIntB!$D$41*CalcIntB!$D$41</f>
        <v>904796881303.131</v>
      </c>
      <c r="Q10">
        <f>Q7*Q7*Q9*Rkd*Rkd*CalcIntB!$D$41*CalcIntB!$D$41</f>
        <v>1608527788983.3445</v>
      </c>
      <c r="R10">
        <f>R7*R7*R9*Rkd*Rkd*CalcIntB!$D$41*CalcIntB!$D$41</f>
        <v>3180926535831.321</v>
      </c>
      <c r="S10">
        <f>S7*S7*S9*Rkd*Rkd*CalcIntB!$D$41*CalcIntB!$D$41</f>
        <v>4926116353761.492</v>
      </c>
      <c r="T10">
        <f>T7*T7*T9*Rkd*Rkd*CalcIntB!$D$41*CalcIntB!$D$41</f>
        <v>8835907043975.889</v>
      </c>
      <c r="U10">
        <f>U7*U7*U9*Rkd*Rkd*CalcIntB!$D$41*CalcIntB!$D$41</f>
        <v>15708279189290.477</v>
      </c>
      <c r="V10">
        <f>V7*V7*V9*Rkd*Rkd*CalcIntB!$D$41*CalcIntB!$D$41</f>
        <v>26546991829900.9</v>
      </c>
      <c r="W10">
        <f>W7*W7*W9*Rkd*Rkd*CalcIntB!$D$41*CalcIntB!$D$41</f>
        <v>50894824573301.13</v>
      </c>
      <c r="X10">
        <f>X7*X7*X9*Rkd*Rkd*CalcIntB!$D$41*CalcIntB!$D$41</f>
        <v>90479688130313.1</v>
      </c>
      <c r="Y10">
        <f>Y7*Y7*Y9*Rkd*Rkd*CalcIntB!$D$41*CalcIntB!$D$41</f>
        <v>160852778898334.44</v>
      </c>
      <c r="Z10">
        <f>Z7*Z7*Z9*Rkd*Rkd*CalcIntB!$D$41*CalcIntB!$D$41</f>
        <v>318092653583132.06</v>
      </c>
      <c r="AA10">
        <f>AA7*AA7*AA9*Rkd*Rkd*CalcIntB!$D$41*CalcIntB!$D$41</f>
        <v>492611635376149.06</v>
      </c>
      <c r="AB10">
        <f>AB7*AB7*AB9*Rkd*Rkd*CalcIntB!$D$41*CalcIntB!$D$41</f>
        <v>883590704397588.9</v>
      </c>
      <c r="AC10">
        <f>AC7*AC7*AC9*Rkd*Rkd*CalcIntB!$D$41*CalcIntB!$D$41</f>
        <v>1570827918929046.8</v>
      </c>
      <c r="AD10">
        <f>AD7*AD7*AD9*Rkd*Rkd*CalcIntB!$D$41*CalcIntB!$D$41</f>
        <v>2654699182990089.5</v>
      </c>
      <c r="AE10">
        <f>AE7*AE7*AE9*Rkd*Rkd*CalcIntB!$D$41*CalcIntB!$D$41</f>
        <v>5089482457330113</v>
      </c>
      <c r="AF10">
        <f>AF7*AF7*AF9*Rkd*Rkd*CalcIntB!$D$41*CalcIntB!$D$41</f>
        <v>9047968813031310</v>
      </c>
      <c r="AG10">
        <f>AG7*AG7*AG9*Rkd*Rkd*CalcIntB!$D$41*CalcIntB!$D$41</f>
        <v>16085277889833448</v>
      </c>
      <c r="AH10">
        <f>AH7*AH7*AH9*Rkd*Rkd*CalcIntB!$D$41*CalcIntB!$D$41</f>
        <v>31809265358313210</v>
      </c>
      <c r="AI10">
        <f>AI7*AI7*AI9*Rkd*Rkd*CalcIntB!$D$41*CalcIntB!$D$41</f>
        <v>49261163537614904</v>
      </c>
      <c r="AJ10">
        <f>AJ7*AJ7*AJ9*Rkd*Rkd*CalcIntB!$D$41*CalcIntB!$D$41</f>
        <v>88359070439758900</v>
      </c>
      <c r="AK10">
        <f>AK7*AK7*AK9*Rkd*Rkd*CalcIntB!$D$41*CalcIntB!$D$41</f>
        <v>1.570827918929047E+17</v>
      </c>
      <c r="AL10">
        <f>AL7*AL7*AL9*Rkd*Rkd*CalcIntB!$D$41*CalcIntB!$D$41</f>
        <v>2.65469918299009E+17</v>
      </c>
      <c r="AM10">
        <f>AM7*AM7*AM9*Rkd*Rkd*CalcIntB!$D$41*CalcIntB!$D$41</f>
        <v>5.089482457330113E+17</v>
      </c>
      <c r="AN10">
        <f>AN7*AN7*AN9*Rkd*Rkd*CalcIntB!$D$41*CalcIntB!$D$41</f>
        <v>9.04796881303131E+17</v>
      </c>
      <c r="AO10">
        <f>AO7*AO7*AO9*Rkd*Rkd*CalcIntB!$D$41*CalcIntB!$D$41</f>
        <v>1.6085277889833439E+18</v>
      </c>
      <c r="AP10">
        <f>AP7*AP7*AP9*Rkd*Rkd*CalcIntB!$D$41*CalcIntB!$D$41</f>
        <v>3.1809265358313206E+18</v>
      </c>
      <c r="AQ10">
        <f>AQ7*AQ7*AQ9*Rkd*Rkd*CalcIntB!$D$41*CalcIntB!$D$41</f>
        <v>4.926116353761492E+18</v>
      </c>
      <c r="AR10">
        <f>AR7*AR7*AR9*Rkd*Rkd*CalcIntB!$D$41*CalcIntB!$D$41</f>
        <v>8.83590704397589E+18</v>
      </c>
    </row>
    <row r="11" spans="2:44" ht="12.75">
      <c r="B11">
        <v>7.943282347242818</v>
      </c>
      <c r="C11">
        <v>100</v>
      </c>
      <c r="D11" t="s">
        <v>30</v>
      </c>
      <c r="E11">
        <f aca="true" t="shared" si="4" ref="E11:AR11">SQRT(E10+E9)</f>
        <v>8947456.202182204</v>
      </c>
      <c r="F11">
        <f t="shared" si="4"/>
        <v>8947516.77065949</v>
      </c>
      <c r="G11">
        <f t="shared" si="4"/>
        <v>8947652.828787401</v>
      </c>
      <c r="H11">
        <f t="shared" si="4"/>
        <v>8947874.028553536</v>
      </c>
      <c r="I11">
        <f t="shared" si="4"/>
        <v>8948267.259080926</v>
      </c>
      <c r="J11">
        <f t="shared" si="4"/>
        <v>8949145.821105395</v>
      </c>
      <c r="K11">
        <f t="shared" si="4"/>
        <v>8950120.827429507</v>
      </c>
      <c r="L11">
        <f t="shared" si="4"/>
        <v>8952304.772095822</v>
      </c>
      <c r="M11">
        <f t="shared" si="4"/>
        <v>8956142.27521776</v>
      </c>
      <c r="N11">
        <f t="shared" si="4"/>
        <v>8962191.226499736</v>
      </c>
      <c r="O11">
        <f t="shared" si="4"/>
        <v>8975764.58625018</v>
      </c>
      <c r="P11">
        <f t="shared" si="4"/>
        <v>8997788.536265617</v>
      </c>
      <c r="Q11">
        <f t="shared" si="4"/>
        <v>9036809.694302144</v>
      </c>
      <c r="R11">
        <f t="shared" si="4"/>
        <v>9123394.554543894</v>
      </c>
      <c r="S11">
        <f t="shared" si="4"/>
        <v>9218542.076478869</v>
      </c>
      <c r="T11">
        <f t="shared" si="4"/>
        <v>9428218.745130267</v>
      </c>
      <c r="U11">
        <f t="shared" si="4"/>
        <v>9785891.929269416</v>
      </c>
      <c r="V11">
        <f t="shared" si="4"/>
        <v>10324843.509320166</v>
      </c>
      <c r="W11">
        <f t="shared" si="4"/>
        <v>11443348.55867595</v>
      </c>
      <c r="X11">
        <f t="shared" si="4"/>
        <v>13058908.445668915</v>
      </c>
      <c r="Y11">
        <f t="shared" si="4"/>
        <v>15521217.109504791</v>
      </c>
      <c r="Z11">
        <f t="shared" si="4"/>
        <v>19953647.667661715</v>
      </c>
      <c r="AA11">
        <f t="shared" si="4"/>
        <v>23930462.53289307</v>
      </c>
      <c r="AB11">
        <f t="shared" si="4"/>
        <v>31042649.79120885</v>
      </c>
      <c r="AC11">
        <f t="shared" si="4"/>
        <v>40631063.49323257</v>
      </c>
      <c r="AD11">
        <f t="shared" si="4"/>
        <v>52294881.055913486</v>
      </c>
      <c r="AE11">
        <f t="shared" si="4"/>
        <v>71899498.32225649</v>
      </c>
      <c r="AF11">
        <f t="shared" si="4"/>
        <v>95540694.02455354</v>
      </c>
      <c r="AG11">
        <f t="shared" si="4"/>
        <v>127142963.98737721</v>
      </c>
      <c r="AH11">
        <f t="shared" si="4"/>
        <v>178575812.3598357</v>
      </c>
      <c r="AI11">
        <f t="shared" si="4"/>
        <v>222128834.10146677</v>
      </c>
      <c r="AJ11">
        <f t="shared" si="4"/>
        <v>297387164.8901831</v>
      </c>
      <c r="AK11">
        <f t="shared" si="4"/>
        <v>396437696.61141807</v>
      </c>
      <c r="AL11">
        <f t="shared" si="4"/>
        <v>515315411.8602228</v>
      </c>
      <c r="AM11">
        <f t="shared" si="4"/>
        <v>713462193.2062507</v>
      </c>
      <c r="AN11">
        <f t="shared" si="4"/>
        <v>951250196.6910667</v>
      </c>
      <c r="AO11">
        <f t="shared" si="4"/>
        <v>1268309049.240368</v>
      </c>
      <c r="AP11">
        <f t="shared" si="4"/>
        <v>1783537661.8487713</v>
      </c>
      <c r="AQ11">
        <f t="shared" si="4"/>
        <v>2219503640.2680564</v>
      </c>
      <c r="AR11">
        <f t="shared" si="4"/>
        <v>2972538830.59205</v>
      </c>
    </row>
    <row r="12" spans="2:41" ht="12.75">
      <c r="B12">
        <v>10</v>
      </c>
      <c r="C12">
        <f aca="true" t="shared" si="5" ref="C12:C20">C3/10</f>
        <v>1</v>
      </c>
      <c r="N12"/>
      <c r="W12"/>
      <c r="AF12"/>
      <c r="AO12"/>
    </row>
    <row r="13" spans="2:44" ht="12.75">
      <c r="B13">
        <v>15.848931924611136</v>
      </c>
      <c r="C13">
        <f t="shared" si="5"/>
        <v>1.3</v>
      </c>
      <c r="E13">
        <f>(Rchb+rakb+(mub+1)*Rknd)*E7*Rkd*CalcIntB!$D$41</f>
        <v>883.4648465001474</v>
      </c>
      <c r="F13">
        <f>(Rchb+rakb+(mub+1)*Rknd)*F7*Rkd*CalcIntB!$D$41</f>
        <v>1148.5043004501917</v>
      </c>
      <c r="G13">
        <f>(Rchb+rakb+(mub+1)*Rknd)*G7*Rkd*CalcIntB!$D$41</f>
        <v>1590.2367237002654</v>
      </c>
      <c r="H13">
        <f>(Rchb+rakb+(mub+1)*Rknd)*H7*Rkd*CalcIntB!$D$41</f>
        <v>2120.3156316003538</v>
      </c>
      <c r="I13">
        <f>(Rchb+rakb+(mub+1)*Rknd)*I7*Rkd*CalcIntB!$D$41</f>
        <v>2827.087508800472</v>
      </c>
      <c r="J13">
        <f>(Rchb+rakb+(mub+1)*Rknd)*J7*Rkd*CalcIntB!$D$41</f>
        <v>3975.591809250664</v>
      </c>
      <c r="K13">
        <f>(Rchb+rakb+(mub+1)*Rknd)*K7*Rkd*CalcIntB!$D$41</f>
        <v>4947.403140400826</v>
      </c>
      <c r="L13">
        <f>(Rchb+rakb+(mub+1)*Rknd)*L7*Rkd*CalcIntB!$D$41</f>
        <v>6625.986348751106</v>
      </c>
      <c r="M13">
        <f>(Rchb+rakb+(mub+1)*Rknd)*M7*Rkd*CalcIntB!$D$41</f>
        <v>8834.648465001474</v>
      </c>
      <c r="N13">
        <f>(Rchb+rakb+(mub+1)*Rknd)*N7*Rkd*CalcIntB!$D$41</f>
        <v>11485.043004501918</v>
      </c>
      <c r="O13">
        <f>(Rchb+rakb+(mub+1)*Rknd)*O7*Rkd*CalcIntB!$D$41</f>
        <v>15902.367237002656</v>
      </c>
      <c r="P13">
        <f>(Rchb+rakb+(mub+1)*Rknd)*P7*Rkd*CalcIntB!$D$41</f>
        <v>21203.15631600354</v>
      </c>
      <c r="Q13">
        <f>(Rchb+rakb+(mub+1)*Rknd)*Q7*Rkd*CalcIntB!$D$41</f>
        <v>28270.875088004716</v>
      </c>
      <c r="R13">
        <f>(Rchb+rakb+(mub+1)*Rknd)*R7*Rkd*CalcIntB!$D$41</f>
        <v>39755.91809250664</v>
      </c>
      <c r="S13">
        <f>(Rchb+rakb+(mub+1)*Rknd)*S7*Rkd*CalcIntB!$D$41</f>
        <v>49474.03140400826</v>
      </c>
      <c r="T13">
        <f>(Rchb+rakb+(mub+1)*Rknd)*T7*Rkd*CalcIntB!$D$41</f>
        <v>66259.86348751106</v>
      </c>
      <c r="U13">
        <f>(Rchb+rakb+(mub+1)*Rknd)*U7*Rkd*CalcIntB!$D$41</f>
        <v>88346.48465001474</v>
      </c>
      <c r="V13">
        <f>(Rchb+rakb+(mub+1)*Rknd)*V7*Rkd*CalcIntB!$D$41</f>
        <v>114850.43004501917</v>
      </c>
      <c r="W13">
        <f>(Rchb+rakb+(mub+1)*Rknd)*W7*Rkd*CalcIntB!$D$41</f>
        <v>159023.67237002656</v>
      </c>
      <c r="X13">
        <f>(Rchb+rakb+(mub+1)*Rknd)*X7*Rkd*CalcIntB!$D$41</f>
        <v>212031.56316003538</v>
      </c>
      <c r="Y13">
        <f>(Rchb+rakb+(mub+1)*Rknd)*Y7*Rkd*CalcIntB!$D$41</f>
        <v>282708.75088004716</v>
      </c>
      <c r="Z13">
        <f>(Rchb+rakb+(mub+1)*Rknd)*Z7*Rkd*CalcIntB!$D$41</f>
        <v>397559.18092506635</v>
      </c>
      <c r="AA13">
        <f>(Rchb+rakb+(mub+1)*Rknd)*AA7*Rkd*CalcIntB!$D$41</f>
        <v>494740.31404008257</v>
      </c>
      <c r="AB13">
        <f>(Rchb+rakb+(mub+1)*Rknd)*AB7*Rkd*CalcIntB!$D$41</f>
        <v>662598.6348751106</v>
      </c>
      <c r="AC13">
        <f>(Rchb+rakb+(mub+1)*Rknd)*AC7*Rkd*CalcIntB!$D$41</f>
        <v>883464.8465001474</v>
      </c>
      <c r="AD13">
        <f>(Rchb+rakb+(mub+1)*Rknd)*AD7*Rkd*CalcIntB!$D$41</f>
        <v>1148504.3004501916</v>
      </c>
      <c r="AE13">
        <f>(Rchb+rakb+(mub+1)*Rknd)*AE7*Rkd*CalcIntB!$D$41</f>
        <v>1590236.7237002654</v>
      </c>
      <c r="AF13">
        <f>(Rchb+rakb+(mub+1)*Rknd)*AF7*Rkd*CalcIntB!$D$41</f>
        <v>2120315.631600354</v>
      </c>
      <c r="AG13">
        <f>(Rchb+rakb+(mub+1)*Rknd)*AG7*Rkd*CalcIntB!$D$41</f>
        <v>2827087.5088004717</v>
      </c>
      <c r="AH13">
        <f>(Rchb+rakb+(mub+1)*Rknd)*AH7*Rkd*CalcIntB!$D$41</f>
        <v>3975591.8092506635</v>
      </c>
      <c r="AI13">
        <f>(Rchb+rakb+(mub+1)*Rknd)*AI7*Rkd*CalcIntB!$D$41</f>
        <v>4947403.140400825</v>
      </c>
      <c r="AJ13">
        <f>(Rchb+rakb+(mub+1)*Rknd)*AJ7*Rkd*CalcIntB!$D$41</f>
        <v>6625986.348751105</v>
      </c>
      <c r="AK13">
        <f>(Rchb+rakb+(mub+1)*Rknd)*AK7*Rkd*CalcIntB!$D$41</f>
        <v>8834648.465001475</v>
      </c>
      <c r="AL13">
        <f>(Rchb+rakb+(mub+1)*Rknd)*AL7*Rkd*CalcIntB!$D$41</f>
        <v>11485043.004501918</v>
      </c>
      <c r="AM13">
        <f>(Rchb+rakb+(mub+1)*Rknd)*AM7*Rkd*CalcIntB!$D$41</f>
        <v>15902367.237002654</v>
      </c>
      <c r="AN13">
        <f>(Rchb+rakb+(mub+1)*Rknd)*AN7*Rkd*CalcIntB!$D$41</f>
        <v>21203156.31600354</v>
      </c>
      <c r="AO13">
        <f>(Rchb+rakb+(mub+1)*Rknd)*AO7*Rkd*CalcIntB!$D$41</f>
        <v>28270875.088004716</v>
      </c>
      <c r="AP13">
        <f>(Rchb+rakb+(mub+1)*Rknd)*AP7*Rkd*CalcIntB!$D$41</f>
        <v>39755918.09250664</v>
      </c>
      <c r="AQ13">
        <f>(Rchb+rakb+(mub+1)*Rknd)*AQ7*Rkd*CalcIntB!$D$41</f>
        <v>49474031.404008254</v>
      </c>
      <c r="AR13">
        <f>(Rchb+rakb+(mub+1)*Rknd)*AR7*Rkd*CalcIntB!$D$41</f>
        <v>66259863.48751105</v>
      </c>
    </row>
    <row r="14" spans="2:44" ht="12.75">
      <c r="B14">
        <v>19.952623149688797</v>
      </c>
      <c r="C14">
        <f t="shared" si="5"/>
        <v>1.8</v>
      </c>
      <c r="E14">
        <f aca="true" t="shared" si="6" ref="E14:AR14">E13*E13</f>
        <v>780510.1350015289</v>
      </c>
      <c r="F14">
        <f t="shared" si="6"/>
        <v>1319062.1281525844</v>
      </c>
      <c r="G14">
        <f t="shared" si="6"/>
        <v>2528852.8374049542</v>
      </c>
      <c r="H14">
        <f t="shared" si="6"/>
        <v>4495738.377608807</v>
      </c>
      <c r="I14">
        <f t="shared" si="6"/>
        <v>7992423.782415658</v>
      </c>
      <c r="J14">
        <f t="shared" si="6"/>
        <v>15805330.233780969</v>
      </c>
      <c r="K14">
        <f t="shared" si="6"/>
        <v>24476797.83364795</v>
      </c>
      <c r="L14">
        <f t="shared" si="6"/>
        <v>43903695.09383601</v>
      </c>
      <c r="M14">
        <f t="shared" si="6"/>
        <v>78051013.5001529</v>
      </c>
      <c r="N14">
        <f t="shared" si="6"/>
        <v>131906212.81525846</v>
      </c>
      <c r="O14">
        <f t="shared" si="6"/>
        <v>252885283.7404955</v>
      </c>
      <c r="P14">
        <f t="shared" si="6"/>
        <v>449573837.7608808</v>
      </c>
      <c r="Q14">
        <f t="shared" si="6"/>
        <v>799242378.2415656</v>
      </c>
      <c r="R14">
        <f t="shared" si="6"/>
        <v>1580533023.3780968</v>
      </c>
      <c r="S14">
        <f t="shared" si="6"/>
        <v>2447679783.3647957</v>
      </c>
      <c r="T14">
        <f t="shared" si="6"/>
        <v>4390369509.383601</v>
      </c>
      <c r="U14">
        <f t="shared" si="6"/>
        <v>7805101350.01529</v>
      </c>
      <c r="V14">
        <f t="shared" si="6"/>
        <v>13190621281.52584</v>
      </c>
      <c r="W14">
        <f t="shared" si="6"/>
        <v>25288528374.04955</v>
      </c>
      <c r="X14">
        <f t="shared" si="6"/>
        <v>44957383776.08807</v>
      </c>
      <c r="Y14">
        <f t="shared" si="6"/>
        <v>79924237824.15657</v>
      </c>
      <c r="Z14">
        <f t="shared" si="6"/>
        <v>158053302337.80963</v>
      </c>
      <c r="AA14">
        <f t="shared" si="6"/>
        <v>244767978336.47952</v>
      </c>
      <c r="AB14">
        <f t="shared" si="6"/>
        <v>439036950938.3601</v>
      </c>
      <c r="AC14">
        <f t="shared" si="6"/>
        <v>780510135001.5289</v>
      </c>
      <c r="AD14">
        <f t="shared" si="6"/>
        <v>1319062128152.584</v>
      </c>
      <c r="AE14">
        <f t="shared" si="6"/>
        <v>2528852837404.954</v>
      </c>
      <c r="AF14">
        <f t="shared" si="6"/>
        <v>4495738377608.808</v>
      </c>
      <c r="AG14">
        <f t="shared" si="6"/>
        <v>7992423782415.657</v>
      </c>
      <c r="AH14">
        <f t="shared" si="6"/>
        <v>15805330233780.965</v>
      </c>
      <c r="AI14">
        <f t="shared" si="6"/>
        <v>24476797833647.945</v>
      </c>
      <c r="AJ14">
        <f t="shared" si="6"/>
        <v>43903695093836.01</v>
      </c>
      <c r="AK14">
        <f t="shared" si="6"/>
        <v>78051013500152.92</v>
      </c>
      <c r="AL14">
        <f t="shared" si="6"/>
        <v>131906212815258.45</v>
      </c>
      <c r="AM14">
        <f t="shared" si="6"/>
        <v>252885283740495.44</v>
      </c>
      <c r="AN14">
        <f t="shared" si="6"/>
        <v>449573837760880.75</v>
      </c>
      <c r="AO14">
        <f t="shared" si="6"/>
        <v>799242378241565.6</v>
      </c>
      <c r="AP14">
        <f t="shared" si="6"/>
        <v>1580533023378096.8</v>
      </c>
      <c r="AQ14">
        <f t="shared" si="6"/>
        <v>2447679783364795</v>
      </c>
      <c r="AR14">
        <f t="shared" si="6"/>
        <v>4390369509383600.5</v>
      </c>
    </row>
    <row r="15" spans="2:41" ht="12.75">
      <c r="B15">
        <v>25.118864315095806</v>
      </c>
      <c r="C15">
        <f t="shared" si="5"/>
        <v>2.4</v>
      </c>
      <c r="N15"/>
      <c r="W15"/>
      <c r="AF15"/>
      <c r="AO15"/>
    </row>
    <row r="16" spans="2:41" ht="12.75">
      <c r="B16">
        <v>31.622776601683796</v>
      </c>
      <c r="C16">
        <f t="shared" si="5"/>
        <v>3.2</v>
      </c>
      <c r="N16"/>
      <c r="W16"/>
      <c r="AF16"/>
      <c r="AO16"/>
    </row>
    <row r="17" spans="2:44" ht="12.75">
      <c r="B17">
        <v>39.81071705534973</v>
      </c>
      <c r="C17">
        <f t="shared" si="5"/>
        <v>4.5</v>
      </c>
      <c r="E17">
        <f>Rchb+rakb+(mub+1)*(Rkd+Rknd)</f>
        <v>350943.6842105263</v>
      </c>
      <c r="F17">
        <f aca="true" t="shared" si="7" ref="F17:AR17">Rchb+rakb+(mub+1)*(Rkd+Rknd)</f>
        <v>350943.6842105263</v>
      </c>
      <c r="G17">
        <f t="shared" si="7"/>
        <v>350943.6842105263</v>
      </c>
      <c r="H17">
        <f t="shared" si="7"/>
        <v>350943.6842105263</v>
      </c>
      <c r="I17">
        <f t="shared" si="7"/>
        <v>350943.6842105263</v>
      </c>
      <c r="J17">
        <f t="shared" si="7"/>
        <v>350943.6842105263</v>
      </c>
      <c r="K17">
        <f t="shared" si="7"/>
        <v>350943.6842105263</v>
      </c>
      <c r="L17">
        <f t="shared" si="7"/>
        <v>350943.6842105263</v>
      </c>
      <c r="M17">
        <f t="shared" si="7"/>
        <v>350943.6842105263</v>
      </c>
      <c r="N17">
        <f t="shared" si="7"/>
        <v>350943.6842105263</v>
      </c>
      <c r="O17">
        <f t="shared" si="7"/>
        <v>350943.6842105263</v>
      </c>
      <c r="P17">
        <f t="shared" si="7"/>
        <v>350943.6842105263</v>
      </c>
      <c r="Q17">
        <f t="shared" si="7"/>
        <v>350943.6842105263</v>
      </c>
      <c r="R17">
        <f t="shared" si="7"/>
        <v>350943.6842105263</v>
      </c>
      <c r="S17">
        <f t="shared" si="7"/>
        <v>350943.6842105263</v>
      </c>
      <c r="T17">
        <f t="shared" si="7"/>
        <v>350943.6842105263</v>
      </c>
      <c r="U17">
        <f t="shared" si="7"/>
        <v>350943.6842105263</v>
      </c>
      <c r="V17">
        <f t="shared" si="7"/>
        <v>350943.6842105263</v>
      </c>
      <c r="W17">
        <f t="shared" si="7"/>
        <v>350943.6842105263</v>
      </c>
      <c r="X17">
        <f t="shared" si="7"/>
        <v>350943.6842105263</v>
      </c>
      <c r="Y17">
        <f t="shared" si="7"/>
        <v>350943.6842105263</v>
      </c>
      <c r="Z17">
        <f t="shared" si="7"/>
        <v>350943.6842105263</v>
      </c>
      <c r="AA17">
        <f t="shared" si="7"/>
        <v>350943.6842105263</v>
      </c>
      <c r="AB17">
        <f t="shared" si="7"/>
        <v>350943.6842105263</v>
      </c>
      <c r="AC17">
        <f t="shared" si="7"/>
        <v>350943.6842105263</v>
      </c>
      <c r="AD17">
        <f t="shared" si="7"/>
        <v>350943.6842105263</v>
      </c>
      <c r="AE17">
        <f t="shared" si="7"/>
        <v>350943.6842105263</v>
      </c>
      <c r="AF17">
        <f t="shared" si="7"/>
        <v>350943.6842105263</v>
      </c>
      <c r="AG17">
        <f t="shared" si="7"/>
        <v>350943.6842105263</v>
      </c>
      <c r="AH17">
        <f t="shared" si="7"/>
        <v>350943.6842105263</v>
      </c>
      <c r="AI17">
        <f t="shared" si="7"/>
        <v>350943.6842105263</v>
      </c>
      <c r="AJ17">
        <f t="shared" si="7"/>
        <v>350943.6842105263</v>
      </c>
      <c r="AK17">
        <f t="shared" si="7"/>
        <v>350943.6842105263</v>
      </c>
      <c r="AL17">
        <f t="shared" si="7"/>
        <v>350943.6842105263</v>
      </c>
      <c r="AM17">
        <f t="shared" si="7"/>
        <v>350943.6842105263</v>
      </c>
      <c r="AN17">
        <f t="shared" si="7"/>
        <v>350943.6842105263</v>
      </c>
      <c r="AO17">
        <f t="shared" si="7"/>
        <v>350943.6842105263</v>
      </c>
      <c r="AP17">
        <f t="shared" si="7"/>
        <v>350943.6842105263</v>
      </c>
      <c r="AQ17">
        <f t="shared" si="7"/>
        <v>350943.6842105263</v>
      </c>
      <c r="AR17">
        <f t="shared" si="7"/>
        <v>350943.6842105263</v>
      </c>
    </row>
    <row r="18" spans="2:44" ht="12.75">
      <c r="B18">
        <v>50.11872336272723</v>
      </c>
      <c r="C18">
        <f t="shared" si="5"/>
        <v>5.6</v>
      </c>
      <c r="E18">
        <f aca="true" t="shared" si="8" ref="E18:AR18">E17*E17</f>
        <v>123161469487.2576</v>
      </c>
      <c r="F18">
        <f t="shared" si="8"/>
        <v>123161469487.2576</v>
      </c>
      <c r="G18">
        <f t="shared" si="8"/>
        <v>123161469487.2576</v>
      </c>
      <c r="H18">
        <f t="shared" si="8"/>
        <v>123161469487.2576</v>
      </c>
      <c r="I18">
        <f t="shared" si="8"/>
        <v>123161469487.2576</v>
      </c>
      <c r="J18">
        <f t="shared" si="8"/>
        <v>123161469487.2576</v>
      </c>
      <c r="K18">
        <f t="shared" si="8"/>
        <v>123161469487.2576</v>
      </c>
      <c r="L18">
        <f t="shared" si="8"/>
        <v>123161469487.2576</v>
      </c>
      <c r="M18">
        <f t="shared" si="8"/>
        <v>123161469487.2576</v>
      </c>
      <c r="N18">
        <f t="shared" si="8"/>
        <v>123161469487.2576</v>
      </c>
      <c r="O18">
        <f t="shared" si="8"/>
        <v>123161469487.2576</v>
      </c>
      <c r="P18">
        <f t="shared" si="8"/>
        <v>123161469487.2576</v>
      </c>
      <c r="Q18">
        <f t="shared" si="8"/>
        <v>123161469487.2576</v>
      </c>
      <c r="R18">
        <f t="shared" si="8"/>
        <v>123161469487.2576</v>
      </c>
      <c r="S18">
        <f t="shared" si="8"/>
        <v>123161469487.2576</v>
      </c>
      <c r="T18">
        <f t="shared" si="8"/>
        <v>123161469487.2576</v>
      </c>
      <c r="U18">
        <f t="shared" si="8"/>
        <v>123161469487.2576</v>
      </c>
      <c r="V18">
        <f t="shared" si="8"/>
        <v>123161469487.2576</v>
      </c>
      <c r="W18">
        <f t="shared" si="8"/>
        <v>123161469487.2576</v>
      </c>
      <c r="X18">
        <f t="shared" si="8"/>
        <v>123161469487.2576</v>
      </c>
      <c r="Y18">
        <f t="shared" si="8"/>
        <v>123161469487.2576</v>
      </c>
      <c r="Z18">
        <f t="shared" si="8"/>
        <v>123161469487.2576</v>
      </c>
      <c r="AA18">
        <f t="shared" si="8"/>
        <v>123161469487.2576</v>
      </c>
      <c r="AB18">
        <f t="shared" si="8"/>
        <v>123161469487.2576</v>
      </c>
      <c r="AC18">
        <f t="shared" si="8"/>
        <v>123161469487.2576</v>
      </c>
      <c r="AD18">
        <f t="shared" si="8"/>
        <v>123161469487.2576</v>
      </c>
      <c r="AE18">
        <f t="shared" si="8"/>
        <v>123161469487.2576</v>
      </c>
      <c r="AF18">
        <f t="shared" si="8"/>
        <v>123161469487.2576</v>
      </c>
      <c r="AG18">
        <f t="shared" si="8"/>
        <v>123161469487.2576</v>
      </c>
      <c r="AH18">
        <f t="shared" si="8"/>
        <v>123161469487.2576</v>
      </c>
      <c r="AI18">
        <f t="shared" si="8"/>
        <v>123161469487.2576</v>
      </c>
      <c r="AJ18">
        <f t="shared" si="8"/>
        <v>123161469487.2576</v>
      </c>
      <c r="AK18">
        <f t="shared" si="8"/>
        <v>123161469487.2576</v>
      </c>
      <c r="AL18">
        <f t="shared" si="8"/>
        <v>123161469487.2576</v>
      </c>
      <c r="AM18">
        <f t="shared" si="8"/>
        <v>123161469487.2576</v>
      </c>
      <c r="AN18">
        <f t="shared" si="8"/>
        <v>123161469487.2576</v>
      </c>
      <c r="AO18">
        <f t="shared" si="8"/>
        <v>123161469487.2576</v>
      </c>
      <c r="AP18">
        <f t="shared" si="8"/>
        <v>123161469487.2576</v>
      </c>
      <c r="AQ18">
        <f t="shared" si="8"/>
        <v>123161469487.2576</v>
      </c>
      <c r="AR18">
        <f t="shared" si="8"/>
        <v>123161469487.2576</v>
      </c>
    </row>
    <row r="19" spans="2:44" ht="12.75">
      <c r="B19">
        <v>63.09573444801934</v>
      </c>
      <c r="C19">
        <f t="shared" si="5"/>
        <v>7.5</v>
      </c>
      <c r="D19" t="s">
        <v>32</v>
      </c>
      <c r="E19">
        <f aca="true" t="shared" si="9" ref="E19:AR19">SQRT(E14+E18)</f>
        <v>350944.7962249798</v>
      </c>
      <c r="F19">
        <f t="shared" si="9"/>
        <v>350945.56351289834</v>
      </c>
      <c r="G19">
        <f t="shared" si="9"/>
        <v>350947.28712456947</v>
      </c>
      <c r="H19">
        <f t="shared" si="9"/>
        <v>350950.08936547546</v>
      </c>
      <c r="I19">
        <f t="shared" si="9"/>
        <v>350955.07107183966</v>
      </c>
      <c r="J19">
        <f t="shared" si="9"/>
        <v>350966.2018164874</v>
      </c>
      <c r="K19">
        <f t="shared" si="9"/>
        <v>350978.555306576</v>
      </c>
      <c r="L19">
        <f t="shared" si="9"/>
        <v>351006.2295492082</v>
      </c>
      <c r="M19">
        <f t="shared" si="9"/>
        <v>351054.8682197097</v>
      </c>
      <c r="N19">
        <f t="shared" si="9"/>
        <v>351131.5646592782</v>
      </c>
      <c r="O19">
        <f t="shared" si="9"/>
        <v>351303.7927079611</v>
      </c>
      <c r="P19">
        <f t="shared" si="9"/>
        <v>351583.62209440087</v>
      </c>
      <c r="Q19">
        <f t="shared" si="9"/>
        <v>352080.5474113831</v>
      </c>
      <c r="R19">
        <f t="shared" si="9"/>
        <v>353188.33858245617</v>
      </c>
      <c r="S19">
        <f t="shared" si="9"/>
        <v>354413.8107786185</v>
      </c>
      <c r="T19">
        <f t="shared" si="9"/>
        <v>357144.00316488754</v>
      </c>
      <c r="U19">
        <f t="shared" si="9"/>
        <v>361893.03784028906</v>
      </c>
      <c r="V19">
        <f t="shared" si="9"/>
        <v>369258.83979775413</v>
      </c>
      <c r="W19">
        <f t="shared" si="9"/>
        <v>385292.0942107522</v>
      </c>
      <c r="X19">
        <f t="shared" si="9"/>
        <v>410022.9911399429</v>
      </c>
      <c r="Y19">
        <f t="shared" si="9"/>
        <v>450650.31600057066</v>
      </c>
      <c r="Z19">
        <f t="shared" si="9"/>
        <v>530296.8714079569</v>
      </c>
      <c r="AA19">
        <f t="shared" si="9"/>
        <v>606571.8818274855</v>
      </c>
      <c r="AB19">
        <f t="shared" si="9"/>
        <v>749798.9199949661</v>
      </c>
      <c r="AC19">
        <f t="shared" si="9"/>
        <v>950616.4339463033</v>
      </c>
      <c r="AD19">
        <f t="shared" si="9"/>
        <v>1200926.141625638</v>
      </c>
      <c r="AE19">
        <f t="shared" si="9"/>
        <v>1628500.631529571</v>
      </c>
      <c r="AF19">
        <f t="shared" si="9"/>
        <v>2149162.5920567447</v>
      </c>
      <c r="AG19">
        <f t="shared" si="9"/>
        <v>2848786.6280054944</v>
      </c>
      <c r="AH19">
        <f t="shared" si="9"/>
        <v>3991051.453347629</v>
      </c>
      <c r="AI19">
        <f t="shared" si="9"/>
        <v>4959834.604413256</v>
      </c>
      <c r="AJ19">
        <f t="shared" si="9"/>
        <v>6635273.66152469</v>
      </c>
      <c r="AK19">
        <f t="shared" si="9"/>
        <v>8841616.08359242</v>
      </c>
      <c r="AL19">
        <f t="shared" si="9"/>
        <v>11490403.573623762</v>
      </c>
      <c r="AM19">
        <f t="shared" si="9"/>
        <v>15906239.191272797</v>
      </c>
      <c r="AN19">
        <f t="shared" si="9"/>
        <v>21206060.43635564</v>
      </c>
      <c r="AO19">
        <f t="shared" si="9"/>
        <v>28273053.243522406</v>
      </c>
      <c r="AP19">
        <f t="shared" si="9"/>
        <v>39757467.0325913</v>
      </c>
      <c r="AQ19">
        <f t="shared" si="9"/>
        <v>49475276.09659477</v>
      </c>
      <c r="AR19">
        <f t="shared" si="9"/>
        <v>66260792.86314863</v>
      </c>
    </row>
    <row r="20" spans="2:41" ht="12.75">
      <c r="B20">
        <v>79.43282347242817</v>
      </c>
      <c r="C20">
        <f t="shared" si="5"/>
        <v>10</v>
      </c>
      <c r="N20"/>
      <c r="W20"/>
      <c r="AF20"/>
      <c r="AO20"/>
    </row>
    <row r="21" spans="2:44" ht="12.75">
      <c r="B21">
        <v>100</v>
      </c>
      <c r="D21" t="s">
        <v>57</v>
      </c>
      <c r="E21">
        <f>E11/E19</f>
        <v>25.495338008791183</v>
      </c>
      <c r="F21">
        <f aca="true" t="shared" si="10" ref="F21:AR21">F11/F19</f>
        <v>25.495454853728734</v>
      </c>
      <c r="G21">
        <f t="shared" si="10"/>
        <v>25.49571732580857</v>
      </c>
      <c r="H21">
        <f t="shared" si="10"/>
        <v>25.49614403783588</v>
      </c>
      <c r="I21">
        <f t="shared" si="10"/>
        <v>25.496902585713705</v>
      </c>
      <c r="J21">
        <f t="shared" si="10"/>
        <v>25.498597228985336</v>
      </c>
      <c r="K21">
        <f t="shared" si="10"/>
        <v>25.50047771326562</v>
      </c>
      <c r="L21">
        <f t="shared" si="10"/>
        <v>25.504689143532087</v>
      </c>
      <c r="M21">
        <f t="shared" si="10"/>
        <v>25.512086816048672</v>
      </c>
      <c r="N21">
        <f t="shared" si="10"/>
        <v>25.523741322419223</v>
      </c>
      <c r="O21">
        <f t="shared" si="10"/>
        <v>25.54986530905954</v>
      </c>
      <c r="P21">
        <f t="shared" si="10"/>
        <v>25.59217202060025</v>
      </c>
      <c r="Q21">
        <f t="shared" si="10"/>
        <v>25.66688151544829</v>
      </c>
      <c r="R21">
        <f t="shared" si="10"/>
        <v>25.831528275144127</v>
      </c>
      <c r="S21">
        <f t="shared" si="10"/>
        <v>26.010673952650087</v>
      </c>
      <c r="T21">
        <f t="shared" si="10"/>
        <v>26.39892777585688</v>
      </c>
      <c r="U21">
        <f t="shared" si="10"/>
        <v>27.04084054136497</v>
      </c>
      <c r="V21">
        <f t="shared" si="10"/>
        <v>27.96099211863191</v>
      </c>
      <c r="W21">
        <f t="shared" si="10"/>
        <v>29.70044994594806</v>
      </c>
      <c r="X21">
        <f t="shared" si="10"/>
        <v>31.84921023419354</v>
      </c>
      <c r="Y21">
        <f t="shared" si="10"/>
        <v>34.44182009512923</v>
      </c>
      <c r="Z21">
        <f t="shared" si="10"/>
        <v>37.62731545951625</v>
      </c>
      <c r="AA21">
        <f t="shared" si="10"/>
        <v>39.45198128999179</v>
      </c>
      <c r="AB21">
        <f t="shared" si="10"/>
        <v>41.40129968634425</v>
      </c>
      <c r="AC21">
        <f t="shared" si="10"/>
        <v>42.74180630831348</v>
      </c>
      <c r="AD21">
        <f t="shared" si="10"/>
        <v>43.54545982746644</v>
      </c>
      <c r="AE21">
        <f t="shared" si="10"/>
        <v>44.150734074155565</v>
      </c>
      <c r="AF21">
        <f t="shared" si="10"/>
        <v>44.45484691464002</v>
      </c>
      <c r="AG21">
        <f t="shared" si="10"/>
        <v>44.63056753267377</v>
      </c>
      <c r="AH21">
        <f t="shared" si="10"/>
        <v>44.74405164835678</v>
      </c>
      <c r="AI21">
        <f t="shared" si="10"/>
        <v>44.78553254655241</v>
      </c>
      <c r="AJ21">
        <f t="shared" si="10"/>
        <v>44.81912579048742</v>
      </c>
      <c r="AK21">
        <f t="shared" si="10"/>
        <v>44.837696283499135</v>
      </c>
      <c r="AL21">
        <f t="shared" si="10"/>
        <v>44.847459757038486</v>
      </c>
      <c r="AM21">
        <f t="shared" si="10"/>
        <v>44.85423516060935</v>
      </c>
      <c r="AN21">
        <f t="shared" si="10"/>
        <v>44.857468908286464</v>
      </c>
      <c r="AO21">
        <f t="shared" si="10"/>
        <v>44.85928839436357</v>
      </c>
      <c r="AP21">
        <f t="shared" si="10"/>
        <v>44.86044496714821</v>
      </c>
      <c r="AQ21">
        <f t="shared" si="10"/>
        <v>44.86086416040875</v>
      </c>
      <c r="AR21">
        <f t="shared" si="10"/>
        <v>44.86120226076025</v>
      </c>
    </row>
    <row r="22" spans="2:44" ht="12.75">
      <c r="B22">
        <v>158.48931924611136</v>
      </c>
      <c r="D22" t="s">
        <v>58</v>
      </c>
      <c r="E22" s="28">
        <f aca="true" t="shared" si="11" ref="E22:AR22">20*LOG(E21)</f>
        <v>28.129215481496214</v>
      </c>
      <c r="F22" s="28">
        <f t="shared" si="11"/>
        <v>28.129255288770246</v>
      </c>
      <c r="G22" s="28">
        <f t="shared" si="11"/>
        <v>28.12934470830783</v>
      </c>
      <c r="H22" s="28">
        <f t="shared" si="11"/>
        <v>28.12949007948972</v>
      </c>
      <c r="I22" s="28">
        <f t="shared" si="11"/>
        <v>28.129748493669243</v>
      </c>
      <c r="J22" s="28">
        <f t="shared" si="11"/>
        <v>28.13032577929218</v>
      </c>
      <c r="K22" s="28">
        <f t="shared" si="11"/>
        <v>28.130966327339397</v>
      </c>
      <c r="L22" s="28">
        <f t="shared" si="11"/>
        <v>28.13240069255572</v>
      </c>
      <c r="M22" s="28">
        <f t="shared" si="11"/>
        <v>28.134919682291915</v>
      </c>
      <c r="N22" s="28">
        <f t="shared" si="11"/>
        <v>28.138886689846125</v>
      </c>
      <c r="O22" s="28">
        <f t="shared" si="11"/>
        <v>28.147772300227633</v>
      </c>
      <c r="P22" s="28">
        <f t="shared" si="11"/>
        <v>28.162142924880172</v>
      </c>
      <c r="Q22" s="28">
        <f t="shared" si="11"/>
        <v>28.18746211600427</v>
      </c>
      <c r="R22" s="28">
        <f t="shared" si="11"/>
        <v>28.243002023449005</v>
      </c>
      <c r="S22" s="28">
        <f t="shared" si="11"/>
        <v>28.303032103606057</v>
      </c>
      <c r="T22" s="28">
        <f t="shared" si="11"/>
        <v>28.431725756725953</v>
      </c>
      <c r="U22" s="28">
        <f t="shared" si="11"/>
        <v>28.640403743027353</v>
      </c>
      <c r="V22" s="28">
        <f t="shared" si="11"/>
        <v>28.931051541761143</v>
      </c>
      <c r="W22" s="28">
        <f t="shared" si="11"/>
        <v>29.45526057392823</v>
      </c>
      <c r="X22" s="28">
        <f t="shared" si="11"/>
        <v>30.061973351836</v>
      </c>
      <c r="Y22" s="28">
        <f t="shared" si="11"/>
        <v>30.741721877923137</v>
      </c>
      <c r="Z22" s="28">
        <f t="shared" si="11"/>
        <v>31.51006468916755</v>
      </c>
      <c r="AA22" s="28">
        <f t="shared" si="11"/>
        <v>31.92137636977001</v>
      </c>
      <c r="AB22" s="28">
        <f t="shared" si="11"/>
        <v>32.34027949765844</v>
      </c>
      <c r="AC22" s="28">
        <f t="shared" si="11"/>
        <v>32.617057438056904</v>
      </c>
      <c r="AD22" s="28">
        <f t="shared" si="11"/>
        <v>32.778857618714795</v>
      </c>
      <c r="AE22" s="28">
        <f t="shared" si="11"/>
        <v>32.89875857580504</v>
      </c>
      <c r="AF22" s="28">
        <f t="shared" si="11"/>
        <v>32.95838238082645</v>
      </c>
      <c r="AG22" s="28">
        <f t="shared" si="11"/>
        <v>32.992648189305044</v>
      </c>
      <c r="AH22" s="28">
        <f t="shared" si="11"/>
        <v>33.01470615258987</v>
      </c>
      <c r="AI22" s="28">
        <f t="shared" si="11"/>
        <v>33.02275485588357</v>
      </c>
      <c r="AJ22" s="28">
        <f t="shared" si="11"/>
        <v>33.02926762494022</v>
      </c>
      <c r="AK22" s="28">
        <f t="shared" si="11"/>
        <v>33.03286581750158</v>
      </c>
      <c r="AL22" s="28">
        <f t="shared" si="11"/>
        <v>33.03475697670174</v>
      </c>
      <c r="AM22" s="28">
        <f t="shared" si="11"/>
        <v>33.03606911261703</v>
      </c>
      <c r="AN22" s="28">
        <f t="shared" si="11"/>
        <v>33.03669529569413</v>
      </c>
      <c r="AO22" s="28">
        <f t="shared" si="11"/>
        <v>33.037047601233056</v>
      </c>
      <c r="AP22" s="28">
        <f t="shared" si="11"/>
        <v>33.0372715400075</v>
      </c>
      <c r="AQ22" s="28">
        <f t="shared" si="11"/>
        <v>33.03735270392349</v>
      </c>
      <c r="AR22" s="28">
        <f t="shared" si="11"/>
        <v>33.03741816613266</v>
      </c>
    </row>
    <row r="23" spans="2:44" ht="12.75">
      <c r="B23">
        <v>199.526231496888</v>
      </c>
      <c r="E23" s="28">
        <f>$AR$22-3</f>
        <v>30.03741816613266</v>
      </c>
      <c r="F23" s="28">
        <f aca="true" t="shared" si="12" ref="F23:AN23">$AR$22-3</f>
        <v>30.03741816613266</v>
      </c>
      <c r="G23" s="28">
        <f t="shared" si="12"/>
        <v>30.03741816613266</v>
      </c>
      <c r="H23" s="28">
        <f t="shared" si="12"/>
        <v>30.03741816613266</v>
      </c>
      <c r="I23" s="28">
        <f t="shared" si="12"/>
        <v>30.03741816613266</v>
      </c>
      <c r="J23" s="28">
        <f t="shared" si="12"/>
        <v>30.03741816613266</v>
      </c>
      <c r="K23" s="28">
        <f t="shared" si="12"/>
        <v>30.03741816613266</v>
      </c>
      <c r="L23" s="28">
        <f t="shared" si="12"/>
        <v>30.03741816613266</v>
      </c>
      <c r="M23" s="28">
        <f t="shared" si="12"/>
        <v>30.03741816613266</v>
      </c>
      <c r="N23" s="28">
        <f t="shared" si="12"/>
        <v>30.03741816613266</v>
      </c>
      <c r="O23" s="28">
        <f t="shared" si="12"/>
        <v>30.03741816613266</v>
      </c>
      <c r="P23" s="28">
        <f t="shared" si="12"/>
        <v>30.03741816613266</v>
      </c>
      <c r="Q23" s="28">
        <f t="shared" si="12"/>
        <v>30.03741816613266</v>
      </c>
      <c r="R23" s="28">
        <f t="shared" si="12"/>
        <v>30.03741816613266</v>
      </c>
      <c r="S23" s="28">
        <f t="shared" si="12"/>
        <v>30.03741816613266</v>
      </c>
      <c r="T23" s="28">
        <f t="shared" si="12"/>
        <v>30.03741816613266</v>
      </c>
      <c r="U23" s="28">
        <f t="shared" si="12"/>
        <v>30.03741816613266</v>
      </c>
      <c r="V23" s="28">
        <f t="shared" si="12"/>
        <v>30.03741816613266</v>
      </c>
      <c r="W23" s="28">
        <f t="shared" si="12"/>
        <v>30.03741816613266</v>
      </c>
      <c r="X23" s="28">
        <f t="shared" si="12"/>
        <v>30.03741816613266</v>
      </c>
      <c r="Y23" s="28">
        <f t="shared" si="12"/>
        <v>30.03741816613266</v>
      </c>
      <c r="Z23" s="28">
        <f t="shared" si="12"/>
        <v>30.03741816613266</v>
      </c>
      <c r="AA23" s="28">
        <f t="shared" si="12"/>
        <v>30.03741816613266</v>
      </c>
      <c r="AB23" s="28">
        <f t="shared" si="12"/>
        <v>30.03741816613266</v>
      </c>
      <c r="AC23" s="28">
        <f t="shared" si="12"/>
        <v>30.03741816613266</v>
      </c>
      <c r="AD23" s="28">
        <f t="shared" si="12"/>
        <v>30.03741816613266</v>
      </c>
      <c r="AE23" s="28">
        <f t="shared" si="12"/>
        <v>30.03741816613266</v>
      </c>
      <c r="AF23" s="28">
        <f t="shared" si="12"/>
        <v>30.03741816613266</v>
      </c>
      <c r="AG23" s="28">
        <f t="shared" si="12"/>
        <v>30.03741816613266</v>
      </c>
      <c r="AH23" s="28">
        <f t="shared" si="12"/>
        <v>30.03741816613266</v>
      </c>
      <c r="AI23" s="28">
        <f t="shared" si="12"/>
        <v>30.03741816613266</v>
      </c>
      <c r="AJ23" s="28">
        <f t="shared" si="12"/>
        <v>30.03741816613266</v>
      </c>
      <c r="AK23" s="28">
        <f t="shared" si="12"/>
        <v>30.03741816613266</v>
      </c>
      <c r="AL23" s="28">
        <f t="shared" si="12"/>
        <v>30.03741816613266</v>
      </c>
      <c r="AM23" s="28">
        <f t="shared" si="12"/>
        <v>30.03741816613266</v>
      </c>
      <c r="AN23" s="28">
        <f t="shared" si="12"/>
        <v>30.03741816613266</v>
      </c>
      <c r="AO23" s="28"/>
      <c r="AP23" s="28"/>
      <c r="AQ23" s="28"/>
      <c r="AR23" s="28"/>
    </row>
    <row r="24" ht="12.75">
      <c r="B24">
        <v>251.18864315095806</v>
      </c>
    </row>
    <row r="25" ht="12.75">
      <c r="B25">
        <v>316.22776601683796</v>
      </c>
    </row>
    <row r="26" ht="12.75">
      <c r="B26">
        <v>398.10717055349727</v>
      </c>
    </row>
    <row r="27" ht="12.75">
      <c r="B27">
        <v>501.1872336272723</v>
      </c>
    </row>
    <row r="28" ht="12.75">
      <c r="B28">
        <v>630.9573444801935</v>
      </c>
    </row>
    <row r="29" ht="12.75">
      <c r="B29">
        <v>794.3282347242816</v>
      </c>
    </row>
    <row r="30" ht="12.75">
      <c r="B30">
        <v>1000</v>
      </c>
    </row>
    <row r="31" ht="12.75">
      <c r="B31">
        <v>1584.8931924611136</v>
      </c>
    </row>
    <row r="32" ht="12.75">
      <c r="B32">
        <v>1995.2623149688798</v>
      </c>
    </row>
    <row r="33" ht="12.75">
      <c r="B33">
        <v>2511.8864315095807</v>
      </c>
    </row>
    <row r="34" ht="12.75">
      <c r="B34">
        <v>3162.2776601683795</v>
      </c>
    </row>
    <row r="35" ht="12.75">
      <c r="B35">
        <v>3981.071705534973</v>
      </c>
    </row>
    <row r="36" ht="12.75">
      <c r="B36">
        <v>5011.872336272723</v>
      </c>
    </row>
    <row r="37" ht="12.75">
      <c r="B37">
        <v>6309.573444801935</v>
      </c>
    </row>
    <row r="38" ht="12.75">
      <c r="B38">
        <v>7943.282347242816</v>
      </c>
    </row>
    <row r="39" ht="12.75">
      <c r="B39">
        <v>10000</v>
      </c>
    </row>
    <row r="40" ht="12.75">
      <c r="B40">
        <v>15848.931924611135</v>
      </c>
    </row>
    <row r="41" ht="12.75">
      <c r="B41">
        <v>19952.6231496888</v>
      </c>
    </row>
  </sheetData>
  <sheetProtection sheet="1" objects="1" scenarios="1"/>
  <hyperlinks>
    <hyperlink ref="B2" location="FormulaireB!A1" display="Retour au formulaire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TROLET</dc:creator>
  <cp:keywords/>
  <dc:description/>
  <cp:lastModifiedBy>JPT</cp:lastModifiedBy>
  <dcterms:created xsi:type="dcterms:W3CDTF">2018-01-27T18:30:05Z</dcterms:created>
  <dcterms:modified xsi:type="dcterms:W3CDTF">2018-10-10T09:23:44Z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